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935" tabRatio="682" activeTab="3"/>
  </bookViews>
  <sheets>
    <sheet name="Nhap ao trang" sheetId="1" r:id="rId1"/>
    <sheet name="TD C Thuận" sheetId="2" r:id="rId2"/>
    <sheet name="TD C Hoàng" sheetId="13" r:id="rId3"/>
    <sheet name="Ao xanh" sheetId="11" r:id="rId4"/>
    <sheet name="Da nop KT" sheetId="3" r:id="rId5"/>
    <sheet name="Nhap-xuat-ton" sheetId="12" r:id="rId6"/>
    <sheet name="ke nop tien" sheetId="6" r:id="rId7"/>
    <sheet name="Sheet2" sheetId="7" r:id="rId8"/>
    <sheet name="Sheet3" sheetId="8" r:id="rId9"/>
    <sheet name="Sheet3 (2)" sheetId="9" r:id="rId10"/>
    <sheet name="Sheet4" sheetId="4" r:id="rId11"/>
    <sheet name="Sheet5" sheetId="5" r:id="rId12"/>
  </sheets>
  <calcPr calcId="144525"/>
</workbook>
</file>

<file path=xl/calcChain.xml><?xml version="1.0" encoding="utf-8"?>
<calcChain xmlns="http://schemas.openxmlformats.org/spreadsheetml/2006/main">
  <c r="B5" i="11" l="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6" i="11"/>
  <c r="B20" i="1"/>
  <c r="B21" i="1"/>
  <c r="B22" i="1"/>
  <c r="B23" i="1"/>
  <c r="B24" i="1"/>
  <c r="B25" i="1"/>
  <c r="B26" i="1"/>
  <c r="B27" i="1"/>
  <c r="B28" i="1"/>
  <c r="B29" i="1"/>
  <c r="E5" i="1"/>
  <c r="B5" i="1" s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6" i="1"/>
  <c r="AE5" i="11" l="1"/>
  <c r="AF5" i="11"/>
  <c r="AG5" i="11"/>
  <c r="AG4" i="11" s="1"/>
  <c r="AE4" i="11"/>
  <c r="AF4" i="11"/>
  <c r="AC20" i="3" l="1"/>
  <c r="AE28" i="3" s="1"/>
  <c r="AF28" i="3" s="1"/>
  <c r="AC29" i="3"/>
  <c r="AC16" i="3"/>
  <c r="AE20" i="3"/>
  <c r="X4" i="13" l="1"/>
  <c r="Y4" i="13"/>
  <c r="Z4" i="13"/>
  <c r="AA4" i="13"/>
  <c r="AF11" i="3"/>
  <c r="AB9" i="3"/>
  <c r="AA30" i="3" l="1"/>
  <c r="AC25" i="3"/>
  <c r="AB29" i="3"/>
  <c r="AB28" i="3"/>
  <c r="AB27" i="3"/>
  <c r="AB26" i="3"/>
  <c r="AB25" i="3"/>
  <c r="AA29" i="3"/>
  <c r="AA28" i="3"/>
  <c r="AA27" i="3"/>
  <c r="AA26" i="3"/>
  <c r="AA25" i="3"/>
  <c r="U8" i="13" l="1"/>
  <c r="U4" i="13" s="1"/>
  <c r="T4" i="13"/>
  <c r="V4" i="13"/>
  <c r="W4" i="13"/>
  <c r="AK20" i="1" l="1"/>
  <c r="AL20" i="1"/>
  <c r="AM20" i="1"/>
  <c r="AN20" i="1"/>
  <c r="AO20" i="1"/>
  <c r="AP20" i="1"/>
  <c r="AK4" i="1"/>
  <c r="AM5" i="1"/>
  <c r="AN5" i="1"/>
  <c r="AN4" i="1" s="1"/>
  <c r="AO5" i="1"/>
  <c r="AP5" i="1"/>
  <c r="AP4" i="1" s="1"/>
  <c r="AM4" i="1"/>
  <c r="AO4" i="1"/>
  <c r="AG20" i="1"/>
  <c r="AH20" i="1"/>
  <c r="AI20" i="1"/>
  <c r="AJ20" i="1"/>
  <c r="AA17" i="11"/>
  <c r="AB17" i="11"/>
  <c r="AC17" i="11"/>
  <c r="AD17" i="11"/>
  <c r="AG17" i="11"/>
  <c r="AJ9" i="1"/>
  <c r="AA5" i="11"/>
  <c r="AB5" i="11"/>
  <c r="AC5" i="11"/>
  <c r="AC4" i="11" s="1"/>
  <c r="AD5" i="11"/>
  <c r="AD4" i="11" s="1"/>
  <c r="AL4" i="1" l="1"/>
  <c r="AB4" i="11"/>
  <c r="AA4" i="11"/>
  <c r="S17" i="11" l="1"/>
  <c r="T17" i="11"/>
  <c r="U17" i="11"/>
  <c r="V17" i="11"/>
  <c r="W17" i="11"/>
  <c r="X17" i="11"/>
  <c r="Y17" i="11"/>
  <c r="Z17" i="11"/>
  <c r="AG4" i="1"/>
  <c r="AJ4" i="1"/>
  <c r="AH4" i="1"/>
  <c r="AI4" i="1"/>
  <c r="Q10" i="13" l="1"/>
  <c r="Q9" i="13"/>
  <c r="Q8" i="13"/>
  <c r="R4" i="13"/>
  <c r="S4" i="13"/>
  <c r="Q4" i="13" l="1"/>
  <c r="AB20" i="1"/>
  <c r="AC20" i="1"/>
  <c r="AD20" i="1"/>
  <c r="AE20" i="1"/>
  <c r="AF20" i="1"/>
  <c r="V5" i="11"/>
  <c r="V4" i="11" s="1"/>
  <c r="W5" i="11"/>
  <c r="X5" i="11"/>
  <c r="Y5" i="11"/>
  <c r="Y4" i="11" s="1"/>
  <c r="Z5" i="11"/>
  <c r="Z4" i="11" s="1"/>
  <c r="W4" i="11"/>
  <c r="X4" i="11"/>
  <c r="AB4" i="1" l="1"/>
  <c r="AD4" i="1"/>
  <c r="AE4" i="1"/>
  <c r="AC4" i="1"/>
  <c r="AA24" i="3" l="1"/>
  <c r="AA19" i="3"/>
  <c r="AC19" i="3"/>
  <c r="AB23" i="3"/>
  <c r="AB22" i="3"/>
  <c r="AB21" i="3"/>
  <c r="AB20" i="3"/>
  <c r="AB19" i="3"/>
  <c r="AA23" i="3"/>
  <c r="AA22" i="3"/>
  <c r="AA21" i="3"/>
  <c r="AA20" i="3"/>
  <c r="D6" i="1" l="1"/>
  <c r="M6" i="1"/>
  <c r="N6" i="1"/>
  <c r="O4" i="13"/>
  <c r="P4" i="13"/>
  <c r="S5" i="11"/>
  <c r="S4" i="11" s="1"/>
  <c r="T5" i="11"/>
  <c r="T4" i="11" s="1"/>
  <c r="U5" i="11"/>
  <c r="U4" i="11" s="1"/>
  <c r="L4" i="13" l="1"/>
  <c r="M4" i="13"/>
  <c r="N4" i="13"/>
  <c r="K4" i="13"/>
  <c r="W20" i="1"/>
  <c r="X20" i="1"/>
  <c r="Y20" i="1"/>
  <c r="Z20" i="1"/>
  <c r="AA20" i="1"/>
  <c r="AA4" i="1"/>
  <c r="X4" i="1" l="1"/>
  <c r="Y4" i="1"/>
  <c r="W4" i="1"/>
  <c r="Z4" i="1"/>
  <c r="B8" i="13" l="1"/>
  <c r="B9" i="13"/>
  <c r="B10" i="13"/>
  <c r="B11" i="13"/>
  <c r="B12" i="13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C17" i="11"/>
  <c r="P5" i="11"/>
  <c r="Q5" i="11"/>
  <c r="R5" i="11"/>
  <c r="Q20" i="1"/>
  <c r="R20" i="1"/>
  <c r="S20" i="1"/>
  <c r="T20" i="1"/>
  <c r="U20" i="1"/>
  <c r="V20" i="1"/>
  <c r="T4" i="1"/>
  <c r="Q4" i="11" l="1"/>
  <c r="V4" i="1"/>
  <c r="U4" i="1"/>
  <c r="P4" i="11"/>
  <c r="R4" i="11"/>
  <c r="AF4" i="1"/>
  <c r="C20" i="7"/>
  <c r="S4" i="1"/>
  <c r="AB18" i="3"/>
  <c r="AA18" i="3"/>
  <c r="AB16" i="3"/>
  <c r="AB15" i="3"/>
  <c r="AB14" i="3"/>
  <c r="AB13" i="3"/>
  <c r="AB12" i="3"/>
  <c r="AA17" i="3"/>
  <c r="AA16" i="3"/>
  <c r="AA15" i="3"/>
  <c r="AA14" i="3"/>
  <c r="AA13" i="3"/>
  <c r="AA12" i="3"/>
  <c r="O5" i="11" l="1"/>
  <c r="O4" i="11" l="1"/>
  <c r="H4" i="13"/>
  <c r="I4" i="13"/>
  <c r="J4" i="13"/>
  <c r="L5" i="11" l="1"/>
  <c r="L4" i="11" s="1"/>
  <c r="M5" i="11"/>
  <c r="M4" i="11" s="1"/>
  <c r="N5" i="11"/>
  <c r="N4" i="11" s="1"/>
  <c r="L8" i="11"/>
  <c r="M7" i="12" l="1"/>
  <c r="L7" i="12"/>
  <c r="M6" i="12"/>
  <c r="L6" i="12"/>
  <c r="L5" i="12"/>
  <c r="K11" i="12" l="1"/>
  <c r="AB8" i="13"/>
  <c r="E7" i="13"/>
  <c r="C7" i="13"/>
  <c r="B7" i="13" s="1"/>
  <c r="C19" i="7" s="1"/>
  <c r="E6" i="13"/>
  <c r="E4" i="13" s="1"/>
  <c r="C6" i="13"/>
  <c r="B5" i="13"/>
  <c r="G4" i="13"/>
  <c r="F4" i="13"/>
  <c r="D4" i="13"/>
  <c r="C4" i="13"/>
  <c r="B6" i="13" l="1"/>
  <c r="C18" i="7" s="1"/>
  <c r="C17" i="7" s="1"/>
  <c r="K10" i="12"/>
  <c r="AB10" i="13"/>
  <c r="N9" i="1"/>
  <c r="N7" i="1"/>
  <c r="K9" i="12" l="1"/>
  <c r="K12" i="12" s="1"/>
  <c r="AB5" i="13"/>
  <c r="AB4" i="13" s="1"/>
  <c r="B4" i="13"/>
  <c r="AF10" i="3"/>
  <c r="AE11" i="3"/>
  <c r="AE10" i="3"/>
  <c r="AD11" i="3"/>
  <c r="AD10" i="3"/>
  <c r="AC11" i="3"/>
  <c r="AC10" i="3"/>
  <c r="AB11" i="3"/>
  <c r="AB10" i="3"/>
  <c r="AA11" i="3"/>
  <c r="AA10" i="3"/>
  <c r="I18" i="6"/>
  <c r="I17" i="6"/>
  <c r="I16" i="6"/>
  <c r="I15" i="6"/>
  <c r="I14" i="6"/>
  <c r="L9" i="1"/>
  <c r="I9" i="1" l="1"/>
  <c r="I13" i="1"/>
  <c r="AC7" i="3" l="1"/>
  <c r="AC6" i="3"/>
  <c r="AC5" i="3"/>
  <c r="AB7" i="3"/>
  <c r="AB6" i="3"/>
  <c r="AB5" i="3"/>
  <c r="AA9" i="3"/>
  <c r="AA8" i="3"/>
  <c r="AA7" i="3"/>
  <c r="AA6" i="3"/>
  <c r="AA5" i="3"/>
  <c r="J8" i="3" l="1"/>
  <c r="Z6" i="3" l="1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J6" i="3"/>
  <c r="J7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U53" i="3" l="1"/>
  <c r="V53" i="3"/>
  <c r="W53" i="3"/>
  <c r="X53" i="3"/>
  <c r="Y53" i="3"/>
  <c r="Z53" i="3"/>
  <c r="B6" i="2"/>
  <c r="B7" i="2"/>
  <c r="B8" i="2"/>
  <c r="B9" i="2"/>
  <c r="B10" i="2"/>
  <c r="B11" i="2"/>
  <c r="B12" i="2"/>
  <c r="B5" i="2"/>
  <c r="E13" i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Z5" i="3"/>
  <c r="X5" i="3"/>
  <c r="V5" i="3"/>
  <c r="T5" i="3"/>
  <c r="R5" i="3"/>
  <c r="P5" i="3"/>
  <c r="N5" i="3"/>
  <c r="L5" i="3"/>
  <c r="J5" i="3"/>
  <c r="H5" i="3"/>
  <c r="F5" i="3"/>
  <c r="L11" i="12" l="1"/>
  <c r="M11" i="12" s="1"/>
  <c r="D20" i="7"/>
  <c r="E20" i="7" s="1"/>
  <c r="L10" i="12"/>
  <c r="M10" i="12" s="1"/>
  <c r="D19" i="7"/>
  <c r="E19" i="7" s="1"/>
  <c r="L9" i="12"/>
  <c r="D18" i="7"/>
  <c r="K6" i="12"/>
  <c r="K5" i="12"/>
  <c r="D5" i="3"/>
  <c r="D17" i="7" l="1"/>
  <c r="E18" i="7"/>
  <c r="E17" i="7" s="1"/>
  <c r="M9" i="12"/>
  <c r="M12" i="12" s="1"/>
  <c r="L12" i="12"/>
  <c r="J5" i="11"/>
  <c r="K5" i="11"/>
  <c r="J4" i="11" l="1"/>
  <c r="K4" i="11"/>
  <c r="I5" i="11" l="1"/>
  <c r="C16" i="7" l="1"/>
  <c r="G10" i="12"/>
  <c r="C15" i="7"/>
  <c r="C10" i="7"/>
  <c r="C11" i="7"/>
  <c r="C13" i="7"/>
  <c r="G8" i="12"/>
  <c r="C12" i="7"/>
  <c r="I4" i="11"/>
  <c r="K7" i="12"/>
  <c r="G9" i="12"/>
  <c r="G7" i="12"/>
  <c r="G6" i="12"/>
  <c r="G5" i="12"/>
  <c r="G4" i="11"/>
  <c r="E7" i="12"/>
  <c r="AH24" i="11"/>
  <c r="AH13" i="11"/>
  <c r="AH10" i="11"/>
  <c r="AH8" i="11"/>
  <c r="AH6" i="11"/>
  <c r="G5" i="11"/>
  <c r="H5" i="11"/>
  <c r="H4" i="11" s="1"/>
  <c r="C5" i="11"/>
  <c r="D5" i="11"/>
  <c r="D4" i="11" s="1"/>
  <c r="E5" i="11"/>
  <c r="F5" i="11"/>
  <c r="F4" i="11" s="1"/>
  <c r="C14" i="7" l="1"/>
  <c r="C9" i="7"/>
  <c r="G11" i="12"/>
  <c r="C4" i="11"/>
  <c r="E4" i="11"/>
  <c r="AH5" i="11"/>
  <c r="D10" i="2"/>
  <c r="D5" i="2"/>
  <c r="D8" i="2"/>
  <c r="C8" i="7" l="1"/>
  <c r="D4" i="2"/>
  <c r="I53" i="3" l="1"/>
  <c r="K53" i="3"/>
  <c r="M53" i="3"/>
  <c r="O53" i="3"/>
  <c r="Q53" i="3"/>
  <c r="S53" i="3"/>
  <c r="H10" i="12" l="1"/>
  <c r="I10" i="12" s="1"/>
  <c r="D16" i="7"/>
  <c r="E16" i="7" s="1"/>
  <c r="H9" i="12"/>
  <c r="I9" i="12" s="1"/>
  <c r="D15" i="7"/>
  <c r="H8" i="12"/>
  <c r="I8" i="12" s="1"/>
  <c r="D13" i="7"/>
  <c r="E13" i="7" s="1"/>
  <c r="H7" i="12"/>
  <c r="I7" i="12" s="1"/>
  <c r="D12" i="7"/>
  <c r="E12" i="7" s="1"/>
  <c r="H6" i="12"/>
  <c r="I6" i="12" s="1"/>
  <c r="D11" i="7"/>
  <c r="E11" i="7" s="1"/>
  <c r="H5" i="12"/>
  <c r="D10" i="7"/>
  <c r="P53" i="3"/>
  <c r="L53" i="3"/>
  <c r="J53" i="3"/>
  <c r="T53" i="3"/>
  <c r="R53" i="3"/>
  <c r="N53" i="3"/>
  <c r="E15" i="7" l="1"/>
  <c r="E14" i="7" s="1"/>
  <c r="D14" i="7"/>
  <c r="E10" i="7"/>
  <c r="E9" i="7" s="1"/>
  <c r="D9" i="7"/>
  <c r="I5" i="12"/>
  <c r="H11" i="12"/>
  <c r="F12" i="6"/>
  <c r="F19" i="6"/>
  <c r="F20" i="6"/>
  <c r="F21" i="6"/>
  <c r="F13" i="6"/>
  <c r="F14" i="6"/>
  <c r="F15" i="6"/>
  <c r="F16" i="6"/>
  <c r="F17" i="6"/>
  <c r="F18" i="6"/>
  <c r="E8" i="7" l="1"/>
  <c r="D8" i="7"/>
  <c r="D20" i="1" l="1"/>
  <c r="E20" i="1"/>
  <c r="F20" i="1"/>
  <c r="G20" i="1"/>
  <c r="H20" i="1"/>
  <c r="I20" i="1"/>
  <c r="J20" i="1"/>
  <c r="K20" i="1"/>
  <c r="L20" i="1"/>
  <c r="M20" i="1"/>
  <c r="N20" i="1"/>
  <c r="O20" i="1"/>
  <c r="P20" i="1"/>
  <c r="F11" i="6" l="1"/>
  <c r="F22" i="6" s="1"/>
  <c r="E53" i="3" l="1"/>
  <c r="D6" i="7" s="1"/>
  <c r="G53" i="3"/>
  <c r="D7" i="7" s="1"/>
  <c r="C4" i="2"/>
  <c r="D5" i="1"/>
  <c r="I4" i="1"/>
  <c r="J4" i="1"/>
  <c r="D5" i="7" l="1"/>
  <c r="D6" i="12"/>
  <c r="M5" i="12"/>
  <c r="D5" i="12"/>
  <c r="C4" i="1"/>
  <c r="H53" i="3"/>
  <c r="F53" i="3"/>
  <c r="M4" i="1"/>
  <c r="G4" i="1"/>
  <c r="R4" i="1"/>
  <c r="P4" i="1"/>
  <c r="L4" i="1"/>
  <c r="K4" i="1"/>
  <c r="O4" i="1"/>
  <c r="N4" i="1"/>
  <c r="B4" i="2"/>
  <c r="Q4" i="1"/>
  <c r="H4" i="1"/>
  <c r="F4" i="1"/>
  <c r="E4" i="1"/>
  <c r="D4" i="1"/>
  <c r="C6" i="12" l="1"/>
  <c r="E6" i="12" s="1"/>
  <c r="C7" i="7"/>
  <c r="E7" i="7" s="1"/>
  <c r="D53" i="3"/>
  <c r="C6" i="7"/>
  <c r="AH18" i="11"/>
  <c r="AH17" i="11" s="1"/>
  <c r="AH4" i="11" s="1"/>
  <c r="B4" i="11"/>
  <c r="E6" i="7" l="1"/>
  <c r="E5" i="7" s="1"/>
  <c r="C5" i="7"/>
  <c r="B4" i="1"/>
  <c r="C5" i="12"/>
  <c r="E5" i="12" s="1"/>
</calcChain>
</file>

<file path=xl/sharedStrings.xml><?xml version="1.0" encoding="utf-8"?>
<sst xmlns="http://schemas.openxmlformats.org/spreadsheetml/2006/main" count="309" uniqueCount="190">
  <si>
    <t>BẢNG KÊ NHẬP ÁO ĐỒNG PHỤC HSSV</t>
  </si>
  <si>
    <t>Ngày/ Size</t>
  </si>
  <si>
    <t>Tồn</t>
  </si>
  <si>
    <t>C3</t>
  </si>
  <si>
    <t>C3D</t>
  </si>
  <si>
    <t>C3D5</t>
  </si>
  <si>
    <t>C4</t>
  </si>
  <si>
    <t>C4D</t>
  </si>
  <si>
    <t>C4D5</t>
  </si>
  <si>
    <t>C5</t>
  </si>
  <si>
    <t>C5D</t>
  </si>
  <si>
    <t>C6</t>
  </si>
  <si>
    <t>C7</t>
  </si>
  <si>
    <t>C8</t>
  </si>
  <si>
    <t>C9</t>
  </si>
  <si>
    <t>NAM</t>
  </si>
  <si>
    <t>NỮ</t>
  </si>
  <si>
    <t>C2</t>
  </si>
  <si>
    <t>C2D</t>
  </si>
  <si>
    <t>C3H</t>
  </si>
  <si>
    <t>C3HD</t>
  </si>
  <si>
    <t>TỔNG</t>
  </si>
  <si>
    <t>C4N</t>
  </si>
  <si>
    <t>Tổng cộng</t>
  </si>
  <si>
    <t>BẢNG KÊ NHẬP ĐỒNG PHỤC THỂ DỤC HSSV</t>
  </si>
  <si>
    <t>S</t>
  </si>
  <si>
    <t>M</t>
  </si>
  <si>
    <t>L</t>
  </si>
  <si>
    <t>XL</t>
  </si>
  <si>
    <t>2XL</t>
  </si>
  <si>
    <t>3XL</t>
  </si>
  <si>
    <t>4XL</t>
  </si>
  <si>
    <t>5XL</t>
  </si>
  <si>
    <t>BẢNG KÊ NỘP TIỀN VÀO PHÒNG KẾ HOẠCH - TÀI CHÍNH</t>
  </si>
  <si>
    <t>TT</t>
  </si>
  <si>
    <t>Áo nam</t>
  </si>
  <si>
    <t>Số lượng</t>
  </si>
  <si>
    <t>Thành tiền</t>
  </si>
  <si>
    <t>Áo nữ</t>
  </si>
  <si>
    <t>Số
phiếu thu</t>
  </si>
  <si>
    <t>Ngày
nộp</t>
  </si>
  <si>
    <t>Số tiền</t>
  </si>
  <si>
    <t>CỘNG HOÀ XÃ HỘI CHỦ NGHĨA VIỆT NAM</t>
  </si>
  <si>
    <t>Độc lập - Tự do - Hạnh phúc</t>
  </si>
  <si>
    <t>Loại đồng phục</t>
  </si>
  <si>
    <t>ĐVT</t>
  </si>
  <si>
    <t>Đơn giá</t>
  </si>
  <si>
    <t>Ghi chú</t>
  </si>
  <si>
    <t>Đồ thể dục size 3XL, 4XL, 5XL</t>
  </si>
  <si>
    <t>Cái</t>
  </si>
  <si>
    <t>Bộ</t>
  </si>
  <si>
    <t>Người nộp tiền</t>
  </si>
  <si>
    <t>Nguyễn Thị Kim Anh</t>
  </si>
  <si>
    <t>PHÓ TRƯỞNG PHÒNG</t>
  </si>
  <si>
    <t>Size 3XL, 4XL, 5XL</t>
  </si>
  <si>
    <t>Hoàng Ngọc Cảnh</t>
  </si>
  <si>
    <t>Áo nam
135k</t>
  </si>
  <si>
    <t>Áo nữ
127k</t>
  </si>
  <si>
    <t>Thể dục
S, M, L
137,5k</t>
  </si>
  <si>
    <t>Thể dục
XL, XXL
143k</t>
  </si>
  <si>
    <r>
      <t xml:space="preserve">Thể dục
</t>
    </r>
    <r>
      <rPr>
        <b/>
        <sz val="11"/>
        <color theme="1"/>
        <rFont val="Times New Roman"/>
        <family val="1"/>
      </rPr>
      <t xml:space="preserve">3XL, 4XL,
5XL </t>
    </r>
    <r>
      <rPr>
        <b/>
        <sz val="12"/>
        <color theme="1"/>
        <rFont val="Times New Roman"/>
        <family val="1"/>
      </rPr>
      <t>165k</t>
    </r>
  </si>
  <si>
    <t>Áo
nam
135k</t>
  </si>
  <si>
    <t>Áo
nữ
127k</t>
  </si>
  <si>
    <t>PHÒNG CÔNG TÁC CHÍNH TRỊ</t>
  </si>
  <si>
    <t xml:space="preserve"> - HỌC SINH SINH VIÊN</t>
  </si>
  <si>
    <t>Số
lượng</t>
  </si>
  <si>
    <t>BẢNG KÊ NHẬP ĐỒNG PHỤC BẢO HỘ LAO ĐỘNG HSSV</t>
  </si>
  <si>
    <t>BẢNG THỐNG KÊ SỐ NHẬP - XUẤT - TỒN KHO</t>
  </si>
  <si>
    <t>ÁO TRẮNG</t>
  </si>
  <si>
    <t>ÁO XANH</t>
  </si>
  <si>
    <t>THỂ DỤC</t>
  </si>
  <si>
    <t>NHẬP</t>
  </si>
  <si>
    <t>XUẤT</t>
  </si>
  <si>
    <t>TỒN</t>
  </si>
  <si>
    <t>SIZE</t>
  </si>
  <si>
    <t>ÁO NAM</t>
  </si>
  <si>
    <t>ÁO NỮ</t>
  </si>
  <si>
    <t>Tồn năm trước</t>
  </si>
  <si>
    <t>C3 nam</t>
  </si>
  <si>
    <t>C4 nam</t>
  </si>
  <si>
    <t>C5, C6 nam</t>
  </si>
  <si>
    <t>C2, C3 nữ</t>
  </si>
  <si>
    <t>C4, C5 nữ</t>
  </si>
  <si>
    <t>3XL, 4XL, 5XL</t>
  </si>
  <si>
    <t>Áo trắng  nam
135.000</t>
  </si>
  <si>
    <t>Áo trắng  nữ
127.000</t>
  </si>
  <si>
    <t>Áo xanh nam
 C2, C3
135.000</t>
  </si>
  <si>
    <t>Áo xanh
nam
C4
140.000</t>
  </si>
  <si>
    <t>Áo xanh nam 
C5, C6
145.000</t>
  </si>
  <si>
    <t>Áo xanh nam
C7, C8, C9
150.000</t>
  </si>
  <si>
    <t>Áo xanh Nữ
 C2, C3
130.000</t>
  </si>
  <si>
    <t>Áo xanh Nữ
 C4, C5
135.000</t>
  </si>
  <si>
    <t>Đồ Thể dục
S, M
138.000</t>
  </si>
  <si>
    <t>Đồ Thể dục
3XL, 4XL, 5XL
165.000</t>
  </si>
  <si>
    <t>Đồ Thể dục
L, XL,
2XL
145.000</t>
  </si>
  <si>
    <t>Áo trắng nam</t>
  </si>
  <si>
    <t>Áo trắng nữ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</si>
  <si>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</si>
  <si>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</si>
  <si>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</si>
  <si>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</si>
  <si>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</si>
  <si>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</si>
  <si>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M,</t>
  </si>
  <si>
    <t>Đồ thể dục size L, XL, XXL</t>
  </si>
  <si>
    <t>23/6/2017</t>
  </si>
  <si>
    <t>T/K/06026</t>
  </si>
  <si>
    <t>Áo xanh nam C3</t>
  </si>
  <si>
    <t>Áo xanh nam C4</t>
  </si>
  <si>
    <t>Áo xanh nam C5,6</t>
  </si>
  <si>
    <t>Áo xanh nam C7,8,9</t>
  </si>
  <si>
    <t>Áo xanh nữ C2,3</t>
  </si>
  <si>
    <t>Áo xanh nữ C4,5</t>
  </si>
  <si>
    <t>TD S,M</t>
  </si>
  <si>
    <t>TD L.XL.2XL</t>
  </si>
  <si>
    <t>TD 3XL, 4XL, 5XL</t>
  </si>
  <si>
    <t>19/6/2017</t>
  </si>
  <si>
    <t>20/6/2017</t>
  </si>
  <si>
    <t>30/6/2017</t>
  </si>
  <si>
    <t>S, M</t>
  </si>
  <si>
    <t>L, XL, 2XL</t>
  </si>
  <si>
    <t>BẢNG KÊ NỘP TIỀN BÁN ĐỒNG PHỤC HSSV</t>
  </si>
  <si>
    <t>04/7/2017</t>
  </si>
  <si>
    <t>T/K/07004</t>
  </si>
  <si>
    <t>10/7/2017</t>
  </si>
  <si>
    <t>C10</t>
  </si>
  <si>
    <t>T/K/07015</t>
  </si>
  <si>
    <t>T/K/07025</t>
  </si>
  <si>
    <t>TD</t>
  </si>
  <si>
    <t>T/K/07033</t>
  </si>
  <si>
    <t>T/K/07039</t>
  </si>
  <si>
    <t>T/K/07062</t>
  </si>
  <si>
    <t>tồn 15 bộ sai chữ</t>
  </si>
  <si>
    <t>tồn 1 bộ dơ</t>
  </si>
  <si>
    <t>T/K/07068</t>
  </si>
  <si>
    <t>T/K/07074</t>
  </si>
  <si>
    <t>T/K/07076</t>
  </si>
  <si>
    <t>T/K/07084</t>
  </si>
  <si>
    <t>T/K/07094</t>
  </si>
  <si>
    <t>03/8/2017</t>
  </si>
  <si>
    <t>T/K/08005</t>
  </si>
  <si>
    <t>04/8/2017</t>
  </si>
  <si>
    <t>T/K/08011</t>
  </si>
  <si>
    <t>7/8/2017</t>
  </si>
  <si>
    <t>8/8/2017</t>
  </si>
  <si>
    <t>T/K/08016</t>
  </si>
  <si>
    <t>11/8/2017</t>
  </si>
  <si>
    <t>C7, C8, C9,C10 nam</t>
  </si>
  <si>
    <t>BẢNG TỔNG HỢP NHẬP KHO ĐỒNG PHỤC NĂM HỌC 2017-2018</t>
  </si>
  <si>
    <t>LOẠI ĐỒNG PHỤC</t>
  </si>
  <si>
    <t>I</t>
  </si>
  <si>
    <t>Áo trắng</t>
  </si>
  <si>
    <t>II</t>
  </si>
  <si>
    <t>Áo xanh</t>
  </si>
  <si>
    <t>C7, C8, C9, C10</t>
  </si>
  <si>
    <t>Áo xanh nam</t>
  </si>
  <si>
    <t>Áo xanh nữ</t>
  </si>
  <si>
    <t>III</t>
  </si>
  <si>
    <t>Đồ thể dục</t>
  </si>
  <si>
    <t>Size S, M</t>
  </si>
  <si>
    <t>Size L, XL, 2XL</t>
  </si>
  <si>
    <t>GHI CHÚ</t>
  </si>
  <si>
    <t>Đến ngày 14/8/2017</t>
  </si>
  <si>
    <t>ĐÃ BÁN
VÀ NỘP TIỀN</t>
  </si>
  <si>
    <t>SỐ
LƯỢNG NHẬP KHO</t>
  </si>
  <si>
    <t>TỒN
KHO</t>
  </si>
  <si>
    <t>T/K/08023</t>
  </si>
  <si>
    <t>T/K/08025</t>
  </si>
  <si>
    <t>T/K/08030</t>
  </si>
  <si>
    <t>T/K/08040</t>
  </si>
  <si>
    <t>05/9/2017</t>
  </si>
  <si>
    <t>T/K/09001</t>
  </si>
  <si>
    <t>01/9/2017</t>
  </si>
  <si>
    <t>6/9/2017</t>
  </si>
  <si>
    <t>08/9/2017</t>
  </si>
  <si>
    <t>T/K/09003</t>
  </si>
  <si>
    <t>T/K/09009</t>
  </si>
  <si>
    <t>22/9/2017</t>
  </si>
  <si>
    <t>T/K/09027</t>
  </si>
  <si>
    <t>T/K/09039</t>
  </si>
  <si>
    <t>03/10/2017</t>
  </si>
  <si>
    <t>TRƯỜNG CAO ĐẲNG LÝ TỰ TRỌNG TP.HCM</t>
  </si>
  <si>
    <t>02/10/2017</t>
  </si>
  <si>
    <t>06/10/2017</t>
  </si>
  <si>
    <t>T/K/10003</t>
  </si>
  <si>
    <t>T/K/10001</t>
  </si>
  <si>
    <t>9/10/2017</t>
  </si>
  <si>
    <t>TP. Hồ Chí Minh, ngày 02 tháng 11 năm 2017</t>
  </si>
  <si>
    <t>TỪ NGÀY 13/10/2017 ĐẾN NGÀY 02/11/2017</t>
  </si>
  <si>
    <r>
      <t xml:space="preserve">Số tiền bằng chữ: </t>
    </r>
    <r>
      <rPr>
        <i/>
        <sz val="13"/>
        <color theme="1"/>
        <rFont val="Times New Roman"/>
        <family val="1"/>
      </rPr>
      <t>(Sáu mươi mốt triệu sáu trăm mười chín nghìn 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</si>
</sst>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2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3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3" fontId="4" fillId="0" borderId="1" xfId="0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3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14" fontId="1" fillId="0" borderId="0" xfId="0" quotePrefix="1" applyNumberFormat="1" applyFont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3" fontId="1" fillId="2" borderId="0" xfId="0" applyNumberFormat="1" applyFont="1" applyFill="1"/>
    <xf numFmtId="3" fontId="9" fillId="2" borderId="0" xfId="0" applyNumberFormat="1" applyFont="1" applyFill="1"/>
    <xf numFmtId="0" fontId="2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 vertical="center"/>
    </xf>
    <xf numFmtId="0" fontId="0" fillId="0" borderId="0" xfId="0" applyBorder="1"/>
    <xf numFmtId="14" fontId="1" fillId="0" borderId="0" xfId="0" quotePrefix="1" applyNumberFormat="1" applyFont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/>
    <xf numFmtId="0" fontId="10" fillId="3" borderId="0" xfId="0" applyFont="1" applyFill="1" applyAlignment="1">
      <alignment horizontal="center"/>
    </xf>
    <xf numFmtId="0" fontId="11" fillId="3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0" fontId="9" fillId="0" borderId="0" xfId="0" applyFont="1"/>
    <xf numFmtId="0" fontId="9" fillId="0" borderId="0" xfId="0" quotePrefix="1" applyFont="1"/>
    <xf numFmtId="0" fontId="9" fillId="3" borderId="0" xfId="0" quotePrefix="1" applyFont="1" applyFill="1"/>
    <xf numFmtId="3" fontId="11" fillId="3" borderId="1" xfId="0" applyNumberFormat="1" applyFont="1" applyFill="1" applyBorder="1"/>
    <xf numFmtId="0" fontId="11" fillId="3" borderId="1" xfId="0" applyFont="1" applyFill="1" applyBorder="1"/>
    <xf numFmtId="0" fontId="12" fillId="3" borderId="0" xfId="0" applyFont="1" applyFill="1"/>
    <xf numFmtId="14" fontId="9" fillId="0" borderId="0" xfId="0" quotePrefix="1" applyNumberFormat="1" applyFont="1"/>
    <xf numFmtId="14" fontId="1" fillId="0" borderId="1" xfId="0" quotePrefix="1" applyNumberFormat="1" applyFont="1" applyBorder="1" applyAlignment="1">
      <alignment horizontal="center" vertical="center"/>
    </xf>
    <xf numFmtId="14" fontId="11" fillId="3" borderId="1" xfId="0" quotePrefix="1" applyNumberFormat="1" applyFont="1" applyFill="1" applyBorder="1" applyAlignment="1">
      <alignment horizontal="center" vertical="center"/>
    </xf>
    <xf numFmtId="3" fontId="11" fillId="3" borderId="0" xfId="0" applyNumberFormat="1" applyFont="1" applyFill="1"/>
    <xf numFmtId="0" fontId="2" fillId="0" borderId="0" xfId="0" applyFont="1" applyAlignment="1">
      <alignment horizontal="center"/>
    </xf>
    <xf numFmtId="0" fontId="12" fillId="0" borderId="0" xfId="0" applyFont="1"/>
    <xf numFmtId="3" fontId="0" fillId="2" borderId="0" xfId="0" applyNumberForma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9" fillId="0" borderId="0" xfId="0" applyNumberFormat="1" applyFont="1"/>
    <xf numFmtId="0" fontId="2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/>
    <xf numFmtId="0" fontId="11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/>
    <xf numFmtId="3" fontId="11" fillId="2" borderId="0" xfId="0" applyNumberFormat="1" applyFont="1" applyFill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3" fontId="13" fillId="0" borderId="1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14" fillId="2" borderId="0" xfId="0" applyNumberFormat="1" applyFont="1" applyFill="1"/>
    <xf numFmtId="0" fontId="2" fillId="0" borderId="0" xfId="0" applyFont="1" applyAlignment="1">
      <alignment horizontal="center"/>
    </xf>
    <xf numFmtId="3" fontId="14" fillId="3" borderId="0" xfId="0" applyNumberFormat="1" applyFont="1" applyFill="1"/>
    <xf numFmtId="0" fontId="2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/>
    <xf numFmtId="0" fontId="15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1</xdr:col>
      <xdr:colOff>2038350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112395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198288</xdr:colOff>
      <xdr:row>2</xdr:row>
      <xdr:rowOff>28575</xdr:rowOff>
    </xdr:from>
    <xdr:to>
      <xdr:col>6</xdr:col>
      <xdr:colOff>125562</xdr:colOff>
      <xdr:row>2</xdr:row>
      <xdr:rowOff>28575</xdr:rowOff>
    </xdr:to>
    <xdr:cxnSp macro="">
      <xdr:nvCxnSpPr>
        <xdr:cNvPr id="9" name="Straight Connector 8"/>
        <xdr:cNvCxnSpPr/>
      </xdr:nvCxnSpPr>
      <xdr:spPr>
        <a:xfrm>
          <a:off x="4303563" y="428625"/>
          <a:ext cx="18322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9"/>
  <sheetViews>
    <sheetView workbookViewId="0">
      <pane xSplit="2" ySplit="4" topLeftCell="V11" activePane="bottomRight" state="frozen"/>
      <selection pane="topRight" activeCell="C1" sqref="C1"/>
      <selection pane="bottomLeft" activeCell="A5" sqref="A5"/>
      <selection pane="bottomRight" activeCell="Z20" sqref="Z20"/>
    </sheetView>
  </sheetViews>
  <sheetFormatPr defaultRowHeight="15.75" x14ac:dyDescent="0.25"/>
  <cols>
    <col min="1" max="2" width="12.75" customWidth="1"/>
    <col min="3" max="3" width="13.375" customWidth="1"/>
    <col min="4" max="4" width="8.875" customWidth="1"/>
    <col min="5" max="5" width="8.5" customWidth="1"/>
    <col min="6" max="6" width="9" customWidth="1"/>
    <col min="7" max="7" width="8.375" style="39" customWidth="1"/>
    <col min="8" max="18" width="9.875" bestFit="1" customWidth="1"/>
    <col min="19" max="31" width="9.875" customWidth="1"/>
    <col min="32" max="36" width="9.875" bestFit="1" customWidth="1"/>
    <col min="37" max="41" width="9.875" customWidth="1"/>
  </cols>
  <sheetData>
    <row r="1" spans="1:42" x14ac:dyDescent="0.25">
      <c r="A1" t="s">
        <v>0</v>
      </c>
    </row>
    <row r="3" spans="1:42" s="48" customFormat="1" x14ac:dyDescent="0.25">
      <c r="A3" s="48" t="s">
        <v>1</v>
      </c>
      <c r="B3" s="48" t="s">
        <v>21</v>
      </c>
      <c r="C3" s="48" t="s">
        <v>77</v>
      </c>
      <c r="D3" s="49" t="s">
        <v>116</v>
      </c>
      <c r="E3" s="49" t="s">
        <v>117</v>
      </c>
      <c r="F3" s="49" t="s">
        <v>118</v>
      </c>
      <c r="G3" s="50" t="s">
        <v>122</v>
      </c>
      <c r="H3" s="54">
        <v>42927</v>
      </c>
      <c r="I3" s="54">
        <v>42929</v>
      </c>
      <c r="J3" s="54">
        <v>42929</v>
      </c>
      <c r="K3" s="54">
        <v>42933</v>
      </c>
      <c r="L3" s="54">
        <v>42935</v>
      </c>
      <c r="M3" s="54">
        <v>42936</v>
      </c>
      <c r="N3" s="54">
        <v>42940</v>
      </c>
      <c r="O3" s="54">
        <v>42941</v>
      </c>
      <c r="P3" s="54">
        <v>42942</v>
      </c>
      <c r="Q3" s="54">
        <v>42943</v>
      </c>
      <c r="R3" s="63">
        <v>42950</v>
      </c>
      <c r="S3" s="54" t="s">
        <v>144</v>
      </c>
      <c r="T3" s="54" t="s">
        <v>144</v>
      </c>
      <c r="U3" s="63">
        <v>42961</v>
      </c>
      <c r="V3" s="63">
        <v>42962</v>
      </c>
      <c r="W3" s="63">
        <v>42965</v>
      </c>
      <c r="X3" s="63">
        <v>42968</v>
      </c>
      <c r="Y3" s="63">
        <v>42971</v>
      </c>
      <c r="Z3" s="63">
        <v>42971</v>
      </c>
      <c r="AA3" s="63">
        <v>42976</v>
      </c>
      <c r="AB3" s="54" t="s">
        <v>172</v>
      </c>
      <c r="AC3" s="54" t="s">
        <v>173</v>
      </c>
      <c r="AD3" s="63">
        <v>42989</v>
      </c>
      <c r="AE3" s="63">
        <v>42990</v>
      </c>
      <c r="AF3" s="63">
        <v>42991</v>
      </c>
      <c r="AG3" s="63">
        <v>42996</v>
      </c>
      <c r="AH3" s="63">
        <v>43000</v>
      </c>
      <c r="AI3" s="63">
        <v>43004</v>
      </c>
      <c r="AJ3" s="63">
        <v>43007</v>
      </c>
      <c r="AK3" s="63">
        <v>43008</v>
      </c>
      <c r="AL3" s="63">
        <v>43055</v>
      </c>
      <c r="AM3" s="63"/>
      <c r="AN3" s="63"/>
      <c r="AO3" s="63"/>
    </row>
    <row r="4" spans="1:42" x14ac:dyDescent="0.25">
      <c r="A4" t="s">
        <v>23</v>
      </c>
      <c r="B4" s="1">
        <f>B5+B20</f>
        <v>10204</v>
      </c>
      <c r="C4" s="1">
        <f t="shared" ref="C4:N4" si="0">C5+C20</f>
        <v>397</v>
      </c>
      <c r="D4" s="1">
        <f t="shared" si="0"/>
        <v>774</v>
      </c>
      <c r="E4" s="1">
        <f t="shared" si="0"/>
        <v>825</v>
      </c>
      <c r="F4" s="1">
        <f t="shared" si="0"/>
        <v>80</v>
      </c>
      <c r="G4" s="40">
        <f t="shared" si="0"/>
        <v>591</v>
      </c>
      <c r="H4" s="1">
        <f t="shared" si="0"/>
        <v>224</v>
      </c>
      <c r="I4" s="1">
        <f t="shared" si="0"/>
        <v>760</v>
      </c>
      <c r="J4" s="1">
        <f t="shared" si="0"/>
        <v>-16</v>
      </c>
      <c r="K4" s="1">
        <f t="shared" si="0"/>
        <v>305</v>
      </c>
      <c r="L4" s="1">
        <f t="shared" si="0"/>
        <v>626</v>
      </c>
      <c r="M4" s="1">
        <f t="shared" si="0"/>
        <v>396</v>
      </c>
      <c r="N4" s="1">
        <f t="shared" si="0"/>
        <v>1070</v>
      </c>
      <c r="O4" s="1">
        <f t="shared" ref="O4" si="1">O5+O20</f>
        <v>229</v>
      </c>
      <c r="P4" s="1">
        <f t="shared" ref="P4" si="2">P5+P20</f>
        <v>158</v>
      </c>
      <c r="Q4" s="1">
        <f t="shared" ref="Q4" si="3">Q5+Q20</f>
        <v>94</v>
      </c>
      <c r="R4" s="1">
        <f t="shared" ref="R4:AP4" si="4">R5+R20</f>
        <v>142</v>
      </c>
      <c r="S4" s="1">
        <f t="shared" si="4"/>
        <v>222</v>
      </c>
      <c r="T4" s="1">
        <f t="shared" si="4"/>
        <v>16</v>
      </c>
      <c r="U4" s="1">
        <f t="shared" si="4"/>
        <v>401</v>
      </c>
      <c r="V4" s="1">
        <f t="shared" si="4"/>
        <v>235</v>
      </c>
      <c r="W4" s="1">
        <f t="shared" si="4"/>
        <v>228</v>
      </c>
      <c r="X4" s="1">
        <f t="shared" si="4"/>
        <v>150</v>
      </c>
      <c r="Y4" s="1">
        <f t="shared" si="4"/>
        <v>59</v>
      </c>
      <c r="Z4" s="1">
        <f t="shared" si="4"/>
        <v>-22</v>
      </c>
      <c r="AA4" s="1">
        <f t="shared" si="4"/>
        <v>362</v>
      </c>
      <c r="AB4" s="1">
        <f t="shared" si="4"/>
        <v>280</v>
      </c>
      <c r="AC4" s="1">
        <f t="shared" si="4"/>
        <v>112</v>
      </c>
      <c r="AD4" s="1">
        <f t="shared" si="4"/>
        <v>295</v>
      </c>
      <c r="AE4" s="1">
        <f t="shared" si="4"/>
        <v>106</v>
      </c>
      <c r="AF4" s="1">
        <f t="shared" si="4"/>
        <v>109</v>
      </c>
      <c r="AG4" s="1">
        <f t="shared" si="4"/>
        <v>142</v>
      </c>
      <c r="AH4" s="1">
        <f t="shared" si="4"/>
        <v>76</v>
      </c>
      <c r="AI4" s="48">
        <f t="shared" si="4"/>
        <v>151</v>
      </c>
      <c r="AJ4" s="1">
        <f t="shared" si="4"/>
        <v>338</v>
      </c>
      <c r="AK4" s="1">
        <f t="shared" si="4"/>
        <v>295</v>
      </c>
      <c r="AL4" s="1">
        <f t="shared" si="4"/>
        <v>-6</v>
      </c>
      <c r="AM4" s="1">
        <f t="shared" si="4"/>
        <v>0</v>
      </c>
      <c r="AN4" s="1">
        <f t="shared" si="4"/>
        <v>0</v>
      </c>
      <c r="AO4" s="1">
        <f t="shared" si="4"/>
        <v>0</v>
      </c>
      <c r="AP4" s="1">
        <f t="shared" si="4"/>
        <v>0</v>
      </c>
    </row>
    <row r="5" spans="1:42" x14ac:dyDescent="0.25">
      <c r="A5" s="1" t="s">
        <v>15</v>
      </c>
      <c r="B5" s="104">
        <f>SUM(C5:AL5)</f>
        <v>9149</v>
      </c>
      <c r="C5" s="104">
        <v>357</v>
      </c>
      <c r="D5" s="104">
        <f t="shared" ref="D5:AL5" si="5">SUM(D6:D19)</f>
        <v>774</v>
      </c>
      <c r="E5" s="104">
        <f t="shared" si="5"/>
        <v>551</v>
      </c>
      <c r="F5" s="104">
        <f t="shared" si="5"/>
        <v>80</v>
      </c>
      <c r="G5" s="104">
        <f t="shared" si="5"/>
        <v>561</v>
      </c>
      <c r="H5" s="104">
        <f t="shared" si="5"/>
        <v>224</v>
      </c>
      <c r="I5" s="104">
        <f t="shared" si="5"/>
        <v>700</v>
      </c>
      <c r="J5" s="104">
        <f t="shared" si="5"/>
        <v>-11</v>
      </c>
      <c r="K5" s="104">
        <f t="shared" si="5"/>
        <v>180</v>
      </c>
      <c r="L5" s="104">
        <f t="shared" si="5"/>
        <v>474</v>
      </c>
      <c r="M5" s="104">
        <f t="shared" si="5"/>
        <v>396</v>
      </c>
      <c r="N5" s="104">
        <f t="shared" si="5"/>
        <v>1010</v>
      </c>
      <c r="O5" s="104">
        <f t="shared" si="5"/>
        <v>229</v>
      </c>
      <c r="P5" s="104">
        <f t="shared" si="5"/>
        <v>118</v>
      </c>
      <c r="Q5" s="104">
        <f t="shared" si="5"/>
        <v>94</v>
      </c>
      <c r="R5" s="104">
        <f t="shared" si="5"/>
        <v>142</v>
      </c>
      <c r="S5" s="104">
        <f t="shared" si="5"/>
        <v>222</v>
      </c>
      <c r="T5" s="104">
        <f t="shared" si="5"/>
        <v>11</v>
      </c>
      <c r="U5" s="104">
        <f t="shared" si="5"/>
        <v>401</v>
      </c>
      <c r="V5" s="104">
        <f t="shared" si="5"/>
        <v>235</v>
      </c>
      <c r="W5" s="104">
        <f t="shared" si="5"/>
        <v>130</v>
      </c>
      <c r="X5" s="104">
        <f t="shared" si="5"/>
        <v>150</v>
      </c>
      <c r="Y5" s="104">
        <f t="shared" si="5"/>
        <v>59</v>
      </c>
      <c r="Z5" s="48">
        <f t="shared" si="5"/>
        <v>-14</v>
      </c>
      <c r="AA5" s="104">
        <f t="shared" si="5"/>
        <v>362</v>
      </c>
      <c r="AB5" s="104">
        <f t="shared" si="5"/>
        <v>280</v>
      </c>
      <c r="AC5" s="104">
        <f t="shared" si="5"/>
        <v>112</v>
      </c>
      <c r="AD5" s="104">
        <f t="shared" si="5"/>
        <v>295</v>
      </c>
      <c r="AE5" s="104">
        <f t="shared" si="5"/>
        <v>60</v>
      </c>
      <c r="AF5" s="104">
        <f t="shared" si="5"/>
        <v>69</v>
      </c>
      <c r="AG5" s="104">
        <f t="shared" si="5"/>
        <v>142</v>
      </c>
      <c r="AH5" s="104">
        <f t="shared" si="5"/>
        <v>76</v>
      </c>
      <c r="AI5" s="104">
        <f t="shared" si="5"/>
        <v>151</v>
      </c>
      <c r="AJ5" s="104">
        <f t="shared" si="5"/>
        <v>236</v>
      </c>
      <c r="AK5" s="104">
        <f t="shared" si="5"/>
        <v>295</v>
      </c>
      <c r="AL5" s="48">
        <f t="shared" si="5"/>
        <v>-2</v>
      </c>
      <c r="AM5" s="1">
        <f t="shared" ref="R5:AP5" si="6">SUM(AM6:AM19)</f>
        <v>0</v>
      </c>
      <c r="AN5" s="1">
        <f t="shared" si="6"/>
        <v>0</v>
      </c>
      <c r="AO5" s="1">
        <f t="shared" si="6"/>
        <v>0</v>
      </c>
      <c r="AP5" s="1">
        <f t="shared" si="6"/>
        <v>0</v>
      </c>
    </row>
    <row r="6" spans="1:42" x14ac:dyDescent="0.25">
      <c r="A6" t="s">
        <v>3</v>
      </c>
      <c r="B6">
        <f>SUM(C6:AL6)</f>
        <v>923</v>
      </c>
      <c r="D6">
        <f>150+100</f>
        <v>250</v>
      </c>
      <c r="I6">
        <v>150</v>
      </c>
      <c r="J6">
        <v>-5</v>
      </c>
      <c r="M6">
        <f>150+71</f>
        <v>221</v>
      </c>
      <c r="N6" s="59">
        <f>153+63+100</f>
        <v>316</v>
      </c>
      <c r="T6">
        <v>1</v>
      </c>
      <c r="Z6">
        <v>-14</v>
      </c>
      <c r="AK6">
        <v>4</v>
      </c>
    </row>
    <row r="7" spans="1:42" x14ac:dyDescent="0.25">
      <c r="A7" t="s">
        <v>4</v>
      </c>
      <c r="B7">
        <f t="shared" ref="B7:B29" si="7">SUM(C7:AL7)</f>
        <v>1534</v>
      </c>
      <c r="D7">
        <v>150</v>
      </c>
      <c r="G7" s="39">
        <v>100</v>
      </c>
      <c r="L7">
        <v>150</v>
      </c>
      <c r="N7">
        <f>174+160</f>
        <v>334</v>
      </c>
      <c r="O7">
        <v>158</v>
      </c>
      <c r="S7">
        <v>70</v>
      </c>
      <c r="T7">
        <v>3</v>
      </c>
      <c r="X7">
        <v>75</v>
      </c>
      <c r="AA7">
        <v>60</v>
      </c>
      <c r="AB7">
        <v>72</v>
      </c>
      <c r="AC7">
        <v>72</v>
      </c>
      <c r="AG7">
        <v>69</v>
      </c>
      <c r="AJ7">
        <v>80</v>
      </c>
      <c r="AK7">
        <v>141</v>
      </c>
    </row>
    <row r="8" spans="1:42" x14ac:dyDescent="0.25">
      <c r="A8" t="s">
        <v>5</v>
      </c>
      <c r="B8">
        <f t="shared" si="7"/>
        <v>0</v>
      </c>
    </row>
    <row r="9" spans="1:42" x14ac:dyDescent="0.25">
      <c r="A9" t="s">
        <v>6</v>
      </c>
      <c r="B9">
        <f t="shared" si="7"/>
        <v>2200</v>
      </c>
      <c r="D9">
        <v>150</v>
      </c>
      <c r="E9" s="15">
        <v>84</v>
      </c>
      <c r="G9" s="53">
        <v>150</v>
      </c>
      <c r="I9">
        <f>150+150</f>
        <v>300</v>
      </c>
      <c r="J9">
        <v>-2</v>
      </c>
      <c r="L9">
        <f>34+150</f>
        <v>184</v>
      </c>
      <c r="M9">
        <v>100</v>
      </c>
      <c r="N9">
        <f>134+152</f>
        <v>286</v>
      </c>
      <c r="O9">
        <v>71</v>
      </c>
      <c r="S9">
        <v>76</v>
      </c>
      <c r="T9">
        <v>1</v>
      </c>
      <c r="U9">
        <v>133</v>
      </c>
      <c r="V9">
        <v>133</v>
      </c>
      <c r="AA9">
        <v>151</v>
      </c>
      <c r="AB9">
        <v>68</v>
      </c>
      <c r="AD9">
        <v>81</v>
      </c>
      <c r="AH9">
        <v>76</v>
      </c>
      <c r="AI9">
        <v>77</v>
      </c>
      <c r="AJ9">
        <f>80+1</f>
        <v>81</v>
      </c>
    </row>
    <row r="10" spans="1:42" x14ac:dyDescent="0.25">
      <c r="A10" t="s">
        <v>22</v>
      </c>
      <c r="B10">
        <f t="shared" si="7"/>
        <v>1</v>
      </c>
      <c r="AJ10">
        <v>1</v>
      </c>
    </row>
    <row r="11" spans="1:42" x14ac:dyDescent="0.25">
      <c r="A11" t="s">
        <v>7</v>
      </c>
      <c r="B11">
        <f t="shared" si="7"/>
        <v>150</v>
      </c>
      <c r="L11">
        <v>74</v>
      </c>
      <c r="N11">
        <v>74</v>
      </c>
      <c r="T11">
        <v>1</v>
      </c>
      <c r="AI11">
        <v>1</v>
      </c>
    </row>
    <row r="12" spans="1:42" x14ac:dyDescent="0.25">
      <c r="A12" t="s">
        <v>8</v>
      </c>
      <c r="B12">
        <f t="shared" si="7"/>
        <v>148</v>
      </c>
      <c r="D12">
        <v>74</v>
      </c>
      <c r="H12">
        <v>74</v>
      </c>
    </row>
    <row r="13" spans="1:42" x14ac:dyDescent="0.25">
      <c r="A13" t="s">
        <v>9</v>
      </c>
      <c r="B13">
        <f t="shared" si="7"/>
        <v>2055</v>
      </c>
      <c r="E13" s="15">
        <f>150+150+100</f>
        <v>400</v>
      </c>
      <c r="G13" s="39">
        <v>150</v>
      </c>
      <c r="H13">
        <v>150</v>
      </c>
      <c r="I13">
        <f>90+10+150</f>
        <v>250</v>
      </c>
      <c r="J13">
        <v>-3</v>
      </c>
      <c r="L13">
        <v>66</v>
      </c>
      <c r="M13">
        <v>75</v>
      </c>
      <c r="Q13">
        <v>54</v>
      </c>
      <c r="R13">
        <v>71</v>
      </c>
      <c r="S13">
        <v>76</v>
      </c>
      <c r="T13">
        <v>1</v>
      </c>
      <c r="U13">
        <v>142</v>
      </c>
      <c r="V13">
        <v>102</v>
      </c>
      <c r="AA13">
        <v>151</v>
      </c>
      <c r="AB13">
        <v>68</v>
      </c>
      <c r="AD13">
        <v>81</v>
      </c>
      <c r="AF13">
        <v>69</v>
      </c>
      <c r="AJ13">
        <v>73</v>
      </c>
      <c r="AK13">
        <v>81</v>
      </c>
      <c r="AL13">
        <v>-2</v>
      </c>
    </row>
    <row r="14" spans="1:42" x14ac:dyDescent="0.25">
      <c r="A14" t="s">
        <v>10</v>
      </c>
      <c r="B14">
        <f t="shared" si="7"/>
        <v>143</v>
      </c>
      <c r="K14">
        <v>142</v>
      </c>
      <c r="T14">
        <v>1</v>
      </c>
    </row>
    <row r="15" spans="1:42" x14ac:dyDescent="0.25">
      <c r="A15" t="s">
        <v>11</v>
      </c>
      <c r="B15">
        <f t="shared" si="7"/>
        <v>896</v>
      </c>
      <c r="D15">
        <v>150</v>
      </c>
      <c r="E15" s="15">
        <v>67</v>
      </c>
      <c r="G15" s="39">
        <v>121</v>
      </c>
      <c r="J15">
        <v>-1</v>
      </c>
      <c r="K15">
        <v>38</v>
      </c>
      <c r="P15">
        <v>40</v>
      </c>
      <c r="R15">
        <v>71</v>
      </c>
      <c r="T15">
        <v>3</v>
      </c>
      <c r="U15">
        <v>66</v>
      </c>
      <c r="X15">
        <v>75</v>
      </c>
      <c r="Y15">
        <v>59</v>
      </c>
      <c r="AD15">
        <v>61</v>
      </c>
      <c r="AG15">
        <v>73</v>
      </c>
      <c r="AI15">
        <v>73</v>
      </c>
    </row>
    <row r="16" spans="1:42" x14ac:dyDescent="0.25">
      <c r="A16" t="s">
        <v>12</v>
      </c>
      <c r="B16">
        <f t="shared" si="7"/>
        <v>358</v>
      </c>
      <c r="F16" s="15">
        <v>40</v>
      </c>
      <c r="Q16">
        <v>40</v>
      </c>
      <c r="U16">
        <v>30</v>
      </c>
      <c r="W16">
        <v>35</v>
      </c>
      <c r="AB16">
        <v>72</v>
      </c>
      <c r="AD16">
        <v>72</v>
      </c>
      <c r="AK16">
        <v>69</v>
      </c>
    </row>
    <row r="17" spans="1:42" x14ac:dyDescent="0.25">
      <c r="A17" t="s">
        <v>13</v>
      </c>
      <c r="B17">
        <f t="shared" si="7"/>
        <v>205</v>
      </c>
      <c r="F17" s="15">
        <v>40</v>
      </c>
      <c r="P17">
        <v>39</v>
      </c>
      <c r="U17">
        <v>30</v>
      </c>
      <c r="W17">
        <v>35</v>
      </c>
      <c r="AE17">
        <v>60</v>
      </c>
      <c r="AJ17">
        <v>1</v>
      </c>
    </row>
    <row r="18" spans="1:42" x14ac:dyDescent="0.25">
      <c r="A18" t="s">
        <v>14</v>
      </c>
      <c r="B18">
        <f t="shared" si="7"/>
        <v>109</v>
      </c>
      <c r="G18" s="39">
        <v>20</v>
      </c>
      <c r="P18">
        <v>39</v>
      </c>
      <c r="W18">
        <v>30</v>
      </c>
      <c r="AC18">
        <v>20</v>
      </c>
    </row>
    <row r="19" spans="1:42" x14ac:dyDescent="0.25">
      <c r="A19" t="s">
        <v>125</v>
      </c>
      <c r="B19">
        <f t="shared" si="7"/>
        <v>70</v>
      </c>
      <c r="G19" s="39">
        <v>20</v>
      </c>
      <c r="W19">
        <v>30</v>
      </c>
      <c r="AC19">
        <v>20</v>
      </c>
    </row>
    <row r="20" spans="1:42" x14ac:dyDescent="0.25">
      <c r="A20" s="1" t="s">
        <v>16</v>
      </c>
      <c r="B20" s="48">
        <f t="shared" si="7"/>
        <v>1055</v>
      </c>
      <c r="C20" s="104">
        <v>40</v>
      </c>
      <c r="D20" s="1">
        <f t="shared" ref="D20:AP20" si="8">SUM(D21:D29)</f>
        <v>0</v>
      </c>
      <c r="E20" s="104">
        <f t="shared" si="8"/>
        <v>274</v>
      </c>
      <c r="F20" s="1">
        <f t="shared" si="8"/>
        <v>0</v>
      </c>
      <c r="G20" s="105">
        <f t="shared" si="8"/>
        <v>30</v>
      </c>
      <c r="H20" s="1">
        <f t="shared" si="8"/>
        <v>0</v>
      </c>
      <c r="I20" s="104">
        <f t="shared" si="8"/>
        <v>60</v>
      </c>
      <c r="J20" s="104">
        <f t="shared" si="8"/>
        <v>-5</v>
      </c>
      <c r="K20" s="104">
        <f t="shared" si="8"/>
        <v>125</v>
      </c>
      <c r="L20" s="104">
        <f t="shared" si="8"/>
        <v>152</v>
      </c>
      <c r="M20" s="1">
        <f t="shared" si="8"/>
        <v>0</v>
      </c>
      <c r="N20" s="104">
        <f t="shared" si="8"/>
        <v>60</v>
      </c>
      <c r="O20" s="1">
        <f t="shared" si="8"/>
        <v>0</v>
      </c>
      <c r="P20" s="104">
        <f t="shared" si="8"/>
        <v>40</v>
      </c>
      <c r="Q20" s="1">
        <f t="shared" si="8"/>
        <v>0</v>
      </c>
      <c r="R20" s="1">
        <f t="shared" si="8"/>
        <v>0</v>
      </c>
      <c r="S20" s="1">
        <f t="shared" si="8"/>
        <v>0</v>
      </c>
      <c r="T20" s="104">
        <f t="shared" si="8"/>
        <v>5</v>
      </c>
      <c r="U20" s="1">
        <f t="shared" si="8"/>
        <v>0</v>
      </c>
      <c r="V20" s="1">
        <f t="shared" si="8"/>
        <v>0</v>
      </c>
      <c r="W20" s="1">
        <f t="shared" si="8"/>
        <v>98</v>
      </c>
      <c r="X20" s="1">
        <f t="shared" si="8"/>
        <v>0</v>
      </c>
      <c r="Y20" s="1">
        <f t="shared" si="8"/>
        <v>0</v>
      </c>
      <c r="Z20" s="1">
        <f t="shared" si="8"/>
        <v>-8</v>
      </c>
      <c r="AA20" s="1">
        <f t="shared" si="8"/>
        <v>0</v>
      </c>
      <c r="AB20" s="1">
        <f t="shared" si="8"/>
        <v>0</v>
      </c>
      <c r="AC20" s="1">
        <f t="shared" si="8"/>
        <v>0</v>
      </c>
      <c r="AD20" s="1">
        <f t="shared" si="8"/>
        <v>0</v>
      </c>
      <c r="AE20" s="104">
        <f t="shared" si="8"/>
        <v>46</v>
      </c>
      <c r="AF20" s="104">
        <f t="shared" si="8"/>
        <v>40</v>
      </c>
      <c r="AG20" s="1">
        <f t="shared" si="8"/>
        <v>0</v>
      </c>
      <c r="AH20" s="1">
        <f t="shared" si="8"/>
        <v>0</v>
      </c>
      <c r="AI20" s="1">
        <f t="shared" si="8"/>
        <v>0</v>
      </c>
      <c r="AJ20" s="104">
        <f t="shared" si="8"/>
        <v>102</v>
      </c>
      <c r="AK20" s="1">
        <f t="shared" si="8"/>
        <v>0</v>
      </c>
      <c r="AL20" s="1">
        <f t="shared" si="8"/>
        <v>-4</v>
      </c>
      <c r="AM20" s="1">
        <f t="shared" si="8"/>
        <v>0</v>
      </c>
      <c r="AN20" s="1">
        <f t="shared" si="8"/>
        <v>0</v>
      </c>
      <c r="AO20" s="1">
        <f t="shared" si="8"/>
        <v>0</v>
      </c>
      <c r="AP20" s="1">
        <f t="shared" si="8"/>
        <v>0</v>
      </c>
    </row>
    <row r="21" spans="1:42" x14ac:dyDescent="0.25">
      <c r="A21" t="s">
        <v>17</v>
      </c>
      <c r="B21">
        <f t="shared" si="7"/>
        <v>94</v>
      </c>
      <c r="J21">
        <v>-1</v>
      </c>
      <c r="K21">
        <v>65</v>
      </c>
      <c r="T21">
        <v>1</v>
      </c>
      <c r="W21">
        <v>26</v>
      </c>
      <c r="AJ21">
        <v>3</v>
      </c>
    </row>
    <row r="22" spans="1:42" x14ac:dyDescent="0.25">
      <c r="A22" t="s">
        <v>18</v>
      </c>
      <c r="B22">
        <f t="shared" si="7"/>
        <v>133</v>
      </c>
      <c r="K22">
        <v>60</v>
      </c>
      <c r="N22">
        <v>60</v>
      </c>
      <c r="Z22">
        <v>-8</v>
      </c>
      <c r="AF22">
        <v>20</v>
      </c>
      <c r="AJ22">
        <v>3</v>
      </c>
      <c r="AL22">
        <v>-2</v>
      </c>
    </row>
    <row r="23" spans="1:42" x14ac:dyDescent="0.25">
      <c r="A23" t="s">
        <v>3</v>
      </c>
      <c r="B23">
        <f t="shared" si="7"/>
        <v>172</v>
      </c>
      <c r="E23">
        <v>29</v>
      </c>
      <c r="J23">
        <v>-4</v>
      </c>
      <c r="L23">
        <v>92</v>
      </c>
      <c r="N23" s="15"/>
      <c r="T23">
        <v>4</v>
      </c>
      <c r="W23">
        <v>28</v>
      </c>
      <c r="AE23">
        <v>23</v>
      </c>
    </row>
    <row r="24" spans="1:42" x14ac:dyDescent="0.25">
      <c r="A24" t="s">
        <v>4</v>
      </c>
      <c r="B24">
        <f t="shared" si="7"/>
        <v>192</v>
      </c>
      <c r="E24">
        <v>159</v>
      </c>
      <c r="W24">
        <v>2</v>
      </c>
      <c r="AJ24">
        <v>33</v>
      </c>
      <c r="AL24">
        <v>-2</v>
      </c>
    </row>
    <row r="25" spans="1:42" x14ac:dyDescent="0.25">
      <c r="A25" t="s">
        <v>19</v>
      </c>
      <c r="B25">
        <f t="shared" si="7"/>
        <v>137</v>
      </c>
      <c r="E25">
        <v>43</v>
      </c>
      <c r="L25">
        <v>30</v>
      </c>
      <c r="P25">
        <v>40</v>
      </c>
      <c r="AE25">
        <v>23</v>
      </c>
      <c r="AJ25">
        <v>1</v>
      </c>
    </row>
    <row r="26" spans="1:42" x14ac:dyDescent="0.25">
      <c r="A26" t="s">
        <v>20</v>
      </c>
      <c r="B26">
        <f t="shared" si="7"/>
        <v>73</v>
      </c>
      <c r="E26">
        <v>43</v>
      </c>
      <c r="AJ26">
        <v>30</v>
      </c>
    </row>
    <row r="27" spans="1:42" x14ac:dyDescent="0.25">
      <c r="A27" t="s">
        <v>6</v>
      </c>
      <c r="B27">
        <f t="shared" si="7"/>
        <v>134</v>
      </c>
      <c r="I27">
        <v>60</v>
      </c>
      <c r="L27">
        <v>30</v>
      </c>
      <c r="W27">
        <v>22</v>
      </c>
      <c r="AF27">
        <v>20</v>
      </c>
      <c r="AJ27">
        <v>2</v>
      </c>
    </row>
    <row r="28" spans="1:42" x14ac:dyDescent="0.25">
      <c r="A28" t="s">
        <v>7</v>
      </c>
      <c r="B28">
        <f t="shared" si="7"/>
        <v>30</v>
      </c>
      <c r="AJ28">
        <v>30</v>
      </c>
    </row>
    <row r="29" spans="1:42" x14ac:dyDescent="0.25">
      <c r="A29" t="s">
        <v>9</v>
      </c>
      <c r="B29">
        <f t="shared" si="7"/>
        <v>50</v>
      </c>
      <c r="G29" s="39">
        <v>30</v>
      </c>
      <c r="W29">
        <v>20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5" sqref="E15"/>
    </sheetView>
  </sheetViews>
  <sheetFormatPr defaultRowHeight="15.75" x14ac:dyDescent="0.25"/>
  <cols>
    <col min="1" max="1" width="9.75" customWidth="1"/>
  </cols>
  <sheetData>
    <row r="1" spans="1:5" ht="26.25" customHeight="1" x14ac:dyDescent="0.3">
      <c r="A1" s="88" t="s">
        <v>24</v>
      </c>
      <c r="B1" s="88"/>
      <c r="C1" s="88"/>
    </row>
    <row r="3" spans="1:5" s="20" customFormat="1" ht="22.5" customHeight="1" x14ac:dyDescent="0.25">
      <c r="A3" s="16" t="s">
        <v>1</v>
      </c>
      <c r="B3" s="16" t="s">
        <v>21</v>
      </c>
      <c r="C3" s="16" t="s">
        <v>2</v>
      </c>
      <c r="D3" s="19"/>
    </row>
    <row r="4" spans="1:5" ht="22.5" customHeight="1" x14ac:dyDescent="0.25">
      <c r="A4" s="16" t="s">
        <v>23</v>
      </c>
      <c r="B4" s="17">
        <f>SUM(B5:B12)</f>
        <v>195</v>
      </c>
      <c r="C4" s="17">
        <f>SUM(C5:C12)</f>
        <v>195</v>
      </c>
      <c r="D4" s="27">
        <f>D5+D8+D10</f>
        <v>195</v>
      </c>
      <c r="E4" s="1"/>
    </row>
    <row r="5" spans="1:5" ht="22.5" customHeight="1" x14ac:dyDescent="0.25">
      <c r="A5" s="16" t="s">
        <v>25</v>
      </c>
      <c r="B5" s="14">
        <f t="shared" ref="B5:B12" si="0">SUM(C5:C5)</f>
        <v>50</v>
      </c>
      <c r="C5" s="14">
        <v>50</v>
      </c>
      <c r="D5" s="15">
        <f>B5+B6+B7</f>
        <v>50</v>
      </c>
    </row>
    <row r="6" spans="1:5" ht="22.5" customHeight="1" x14ac:dyDescent="0.25">
      <c r="A6" s="16" t="s">
        <v>26</v>
      </c>
      <c r="B6" s="14">
        <f t="shared" si="0"/>
        <v>0</v>
      </c>
      <c r="C6" s="14"/>
    </row>
    <row r="7" spans="1:5" ht="22.5" customHeight="1" x14ac:dyDescent="0.25">
      <c r="A7" s="16" t="s">
        <v>27</v>
      </c>
      <c r="B7" s="14">
        <f t="shared" si="0"/>
        <v>0</v>
      </c>
      <c r="C7" s="14"/>
    </row>
    <row r="8" spans="1:5" ht="22.5" customHeight="1" x14ac:dyDescent="0.25">
      <c r="A8" s="16" t="s">
        <v>28</v>
      </c>
      <c r="B8" s="14">
        <f t="shared" si="0"/>
        <v>0</v>
      </c>
      <c r="C8" s="14"/>
      <c r="D8" s="15">
        <f>B8+B9</f>
        <v>48</v>
      </c>
    </row>
    <row r="9" spans="1:5" ht="22.5" customHeight="1" x14ac:dyDescent="0.25">
      <c r="A9" s="16" t="s">
        <v>29</v>
      </c>
      <c r="B9" s="14">
        <f t="shared" si="0"/>
        <v>48</v>
      </c>
      <c r="C9" s="14">
        <v>48</v>
      </c>
    </row>
    <row r="10" spans="1:5" ht="22.5" customHeight="1" x14ac:dyDescent="0.25">
      <c r="A10" s="16" t="s">
        <v>30</v>
      </c>
      <c r="B10" s="14">
        <f t="shared" si="0"/>
        <v>97</v>
      </c>
      <c r="C10" s="14">
        <v>97</v>
      </c>
      <c r="D10" s="15">
        <f>B10+B11+B12</f>
        <v>97</v>
      </c>
    </row>
    <row r="11" spans="1:5" ht="22.5" customHeight="1" x14ac:dyDescent="0.25">
      <c r="A11" s="16" t="s">
        <v>31</v>
      </c>
      <c r="B11" s="14">
        <f t="shared" si="0"/>
        <v>0</v>
      </c>
      <c r="C11" s="14"/>
    </row>
    <row r="12" spans="1:5" ht="22.5" customHeight="1" x14ac:dyDescent="0.25">
      <c r="A12" s="16" t="s">
        <v>32</v>
      </c>
      <c r="B12" s="14">
        <f t="shared" si="0"/>
        <v>0</v>
      </c>
      <c r="C12" s="14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X9" sqref="X9"/>
    </sheetView>
  </sheetViews>
  <sheetFormatPr defaultRowHeight="15.75" x14ac:dyDescent="0.25"/>
  <cols>
    <col min="1" max="1" width="9.75" customWidth="1"/>
    <col min="3" max="7" width="9.875" bestFit="1" customWidth="1"/>
    <col min="8" max="26" width="9.875" customWidth="1"/>
    <col min="27" max="27" width="9.875" bestFit="1" customWidth="1"/>
  </cols>
  <sheetData>
    <row r="1" spans="1:29" ht="26.25" customHeight="1" x14ac:dyDescent="0.3">
      <c r="A1" s="88" t="s">
        <v>24</v>
      </c>
      <c r="B1" s="88"/>
      <c r="C1" s="88"/>
      <c r="D1" s="88"/>
      <c r="E1" s="88"/>
      <c r="F1" s="88"/>
      <c r="G1" s="88"/>
      <c r="H1" s="61"/>
      <c r="I1" s="61"/>
      <c r="J1" s="61"/>
      <c r="K1" s="73"/>
      <c r="L1" s="77"/>
      <c r="M1" s="77"/>
      <c r="N1" s="77"/>
      <c r="O1" s="78"/>
      <c r="P1" s="78"/>
      <c r="Q1" s="78"/>
      <c r="R1" s="73"/>
      <c r="S1" s="81"/>
      <c r="T1" s="83"/>
      <c r="U1" s="83"/>
      <c r="V1" s="83"/>
      <c r="W1" s="81"/>
      <c r="X1" s="84"/>
      <c r="Y1" s="84"/>
      <c r="Z1" s="84"/>
    </row>
    <row r="3" spans="1:29" s="20" customFormat="1" ht="22.5" customHeight="1" x14ac:dyDescent="0.25">
      <c r="A3" s="28" t="s">
        <v>1</v>
      </c>
      <c r="B3" s="28" t="s">
        <v>21</v>
      </c>
      <c r="C3" s="55">
        <v>42927</v>
      </c>
      <c r="D3" s="55">
        <v>42936</v>
      </c>
      <c r="E3" s="55">
        <v>42940</v>
      </c>
      <c r="F3" s="55">
        <v>42942</v>
      </c>
      <c r="G3" s="55">
        <v>42943</v>
      </c>
      <c r="H3" s="34">
        <v>42944</v>
      </c>
      <c r="I3" s="34">
        <v>42947</v>
      </c>
      <c r="J3" s="34">
        <v>42961</v>
      </c>
      <c r="K3" s="34">
        <v>42962</v>
      </c>
      <c r="L3" s="34">
        <v>42962</v>
      </c>
      <c r="M3" s="34">
        <v>42968</v>
      </c>
      <c r="N3" s="34">
        <v>42971</v>
      </c>
      <c r="O3" s="34">
        <v>42971</v>
      </c>
      <c r="P3" s="34">
        <v>42984</v>
      </c>
      <c r="Q3" s="34">
        <v>42990</v>
      </c>
      <c r="R3" s="34">
        <v>42998</v>
      </c>
      <c r="S3" s="34">
        <v>43004</v>
      </c>
      <c r="T3" s="34">
        <v>43008</v>
      </c>
      <c r="U3" s="34" t="s">
        <v>182</v>
      </c>
      <c r="V3" s="34">
        <v>43017</v>
      </c>
      <c r="W3" s="34">
        <v>43022</v>
      </c>
      <c r="X3" s="34">
        <v>43034</v>
      </c>
      <c r="Y3" s="34"/>
      <c r="Z3" s="34"/>
      <c r="AA3" s="26"/>
      <c r="AB3" s="19"/>
    </row>
    <row r="4" spans="1:29" ht="22.5" customHeight="1" x14ac:dyDescent="0.25">
      <c r="A4" s="28" t="s">
        <v>23</v>
      </c>
      <c r="B4" s="17">
        <f>SUM(B5:B12)</f>
        <v>4364</v>
      </c>
      <c r="C4" s="17">
        <f t="shared" ref="C4:AA4" si="0">SUM(C5:C12)</f>
        <v>1333</v>
      </c>
      <c r="D4" s="17">
        <f t="shared" si="0"/>
        <v>180</v>
      </c>
      <c r="E4" s="17">
        <f t="shared" si="0"/>
        <v>180</v>
      </c>
      <c r="F4" s="17">
        <f t="shared" si="0"/>
        <v>40</v>
      </c>
      <c r="G4" s="17">
        <f t="shared" si="0"/>
        <v>118</v>
      </c>
      <c r="H4" s="17">
        <f t="shared" si="0"/>
        <v>44</v>
      </c>
      <c r="I4" s="17">
        <f t="shared" si="0"/>
        <v>178</v>
      </c>
      <c r="J4" s="17">
        <f t="shared" si="0"/>
        <v>70</v>
      </c>
      <c r="K4" s="17">
        <f t="shared" si="0"/>
        <v>285</v>
      </c>
      <c r="L4" s="17">
        <f t="shared" si="0"/>
        <v>23</v>
      </c>
      <c r="M4" s="17">
        <f t="shared" si="0"/>
        <v>45</v>
      </c>
      <c r="N4" s="17">
        <f t="shared" si="0"/>
        <v>497</v>
      </c>
      <c r="O4" s="17">
        <f t="shared" si="0"/>
        <v>-13</v>
      </c>
      <c r="P4" s="17">
        <f t="shared" si="0"/>
        <v>190</v>
      </c>
      <c r="Q4" s="17">
        <f t="shared" si="0"/>
        <v>360</v>
      </c>
      <c r="R4" s="17">
        <f t="shared" si="0"/>
        <v>90</v>
      </c>
      <c r="S4" s="17">
        <f t="shared" si="0"/>
        <v>5</v>
      </c>
      <c r="T4" s="17">
        <f t="shared" si="0"/>
        <v>90</v>
      </c>
      <c r="U4" s="17">
        <f t="shared" si="0"/>
        <v>205</v>
      </c>
      <c r="V4" s="17">
        <f t="shared" si="0"/>
        <v>30</v>
      </c>
      <c r="W4" s="17">
        <f t="shared" si="0"/>
        <v>204</v>
      </c>
      <c r="X4" s="17">
        <f t="shared" si="0"/>
        <v>210</v>
      </c>
      <c r="Y4" s="17">
        <f t="shared" si="0"/>
        <v>0</v>
      </c>
      <c r="Z4" s="17">
        <f t="shared" si="0"/>
        <v>0</v>
      </c>
      <c r="AA4" s="17">
        <f t="shared" si="0"/>
        <v>0</v>
      </c>
      <c r="AB4" s="27">
        <f>AB5+AB8+AB10</f>
        <v>4364</v>
      </c>
      <c r="AC4" s="1"/>
    </row>
    <row r="5" spans="1:29" ht="22.5" customHeight="1" x14ac:dyDescent="0.25">
      <c r="A5" s="28" t="s">
        <v>25</v>
      </c>
      <c r="B5" s="14">
        <f t="shared" ref="B5:B12" si="1">SUM(C5:AA5)</f>
        <v>620</v>
      </c>
      <c r="C5" s="14">
        <v>67</v>
      </c>
      <c r="D5" s="14">
        <v>70</v>
      </c>
      <c r="E5" s="14"/>
      <c r="F5" s="14"/>
      <c r="G5" s="14"/>
      <c r="H5" s="33"/>
      <c r="I5" s="33">
        <v>48</v>
      </c>
      <c r="J5" s="33">
        <v>9</v>
      </c>
      <c r="K5" s="33">
        <v>60</v>
      </c>
      <c r="L5" s="33"/>
      <c r="M5" s="35">
        <v>7</v>
      </c>
      <c r="N5" s="35">
        <v>50</v>
      </c>
      <c r="O5" s="35"/>
      <c r="P5" s="35">
        <v>43</v>
      </c>
      <c r="Q5" s="35">
        <v>80</v>
      </c>
      <c r="R5" s="33"/>
      <c r="S5" s="33"/>
      <c r="T5" s="33"/>
      <c r="U5" s="33">
        <v>60</v>
      </c>
      <c r="V5" s="33"/>
      <c r="W5" s="33">
        <v>53</v>
      </c>
      <c r="X5" s="33">
        <v>73</v>
      </c>
      <c r="Y5" s="33"/>
      <c r="Z5" s="33"/>
      <c r="AB5" s="15">
        <f>B5+B6+B7</f>
        <v>2280</v>
      </c>
    </row>
    <row r="6" spans="1:29" ht="22.5" customHeight="1" x14ac:dyDescent="0.25">
      <c r="A6" s="28" t="s">
        <v>26</v>
      </c>
      <c r="B6" s="14">
        <f t="shared" si="1"/>
        <v>840</v>
      </c>
      <c r="C6" s="14">
        <f>180+60</f>
        <v>240</v>
      </c>
      <c r="D6" s="14"/>
      <c r="E6" s="14">
        <f>70+20+3</f>
        <v>93</v>
      </c>
      <c r="F6" s="14"/>
      <c r="G6" s="14">
        <v>11</v>
      </c>
      <c r="H6" s="33"/>
      <c r="I6" s="33">
        <v>44</v>
      </c>
      <c r="J6" s="33">
        <v>14</v>
      </c>
      <c r="K6" s="35">
        <v>60</v>
      </c>
      <c r="L6" s="35"/>
      <c r="M6" s="35">
        <v>9</v>
      </c>
      <c r="N6" s="35">
        <v>50</v>
      </c>
      <c r="O6" s="35">
        <v>-3</v>
      </c>
      <c r="P6" s="35">
        <v>97</v>
      </c>
      <c r="Q6" s="35"/>
      <c r="R6" s="33"/>
      <c r="S6" s="35">
        <v>5</v>
      </c>
      <c r="T6" s="35"/>
      <c r="U6" s="35">
        <v>99</v>
      </c>
      <c r="V6" s="35"/>
      <c r="W6" s="33">
        <v>51</v>
      </c>
      <c r="X6" s="35">
        <v>70</v>
      </c>
      <c r="Y6" s="33"/>
      <c r="Z6" s="33"/>
    </row>
    <row r="7" spans="1:29" ht="22.5" customHeight="1" x14ac:dyDescent="0.25">
      <c r="A7" s="28" t="s">
        <v>27</v>
      </c>
      <c r="B7" s="14">
        <f t="shared" si="1"/>
        <v>820</v>
      </c>
      <c r="C7" s="14">
        <f>233+40</f>
        <v>273</v>
      </c>
      <c r="D7" s="14"/>
      <c r="E7" s="14">
        <f>70+17</f>
        <v>87</v>
      </c>
      <c r="F7" s="14"/>
      <c r="G7" s="14"/>
      <c r="H7" s="33"/>
      <c r="I7" s="35">
        <v>43</v>
      </c>
      <c r="J7" s="35">
        <v>15</v>
      </c>
      <c r="K7" s="35">
        <v>60</v>
      </c>
      <c r="L7" s="35"/>
      <c r="M7" s="35">
        <v>24</v>
      </c>
      <c r="N7" s="35">
        <v>50</v>
      </c>
      <c r="O7" s="35">
        <v>-6</v>
      </c>
      <c r="P7" s="35">
        <v>50</v>
      </c>
      <c r="Q7" s="35">
        <v>60</v>
      </c>
      <c r="R7" s="35">
        <v>80</v>
      </c>
      <c r="S7" s="33"/>
      <c r="T7" s="33"/>
      <c r="U7" s="35">
        <v>6</v>
      </c>
      <c r="V7" s="33"/>
      <c r="W7" s="35">
        <v>52</v>
      </c>
      <c r="X7" s="35">
        <v>26</v>
      </c>
      <c r="Y7" s="33"/>
      <c r="Z7" s="33"/>
    </row>
    <row r="8" spans="1:29" ht="22.5" customHeight="1" x14ac:dyDescent="0.25">
      <c r="A8" s="28" t="s">
        <v>28</v>
      </c>
      <c r="B8" s="14">
        <f t="shared" si="1"/>
        <v>994</v>
      </c>
      <c r="C8" s="14">
        <v>360</v>
      </c>
      <c r="D8" s="14">
        <v>40</v>
      </c>
      <c r="E8" s="14"/>
      <c r="F8" s="14"/>
      <c r="G8" s="14">
        <v>107</v>
      </c>
      <c r="H8" s="33"/>
      <c r="I8" s="35">
        <v>43</v>
      </c>
      <c r="J8" s="35">
        <v>16</v>
      </c>
      <c r="K8" s="35">
        <v>60</v>
      </c>
      <c r="L8" s="35">
        <v>7</v>
      </c>
      <c r="M8" s="35">
        <v>5</v>
      </c>
      <c r="N8" s="35">
        <v>100</v>
      </c>
      <c r="O8" s="35">
        <v>-3</v>
      </c>
      <c r="P8" s="35"/>
      <c r="Q8" s="35">
        <f>40+90</f>
        <v>130</v>
      </c>
      <c r="R8" s="33"/>
      <c r="S8" s="33"/>
      <c r="T8" s="33"/>
      <c r="U8" s="35">
        <f>10+30</f>
        <v>40</v>
      </c>
      <c r="V8" s="33"/>
      <c r="W8" s="35">
        <v>48</v>
      </c>
      <c r="X8" s="35">
        <v>41</v>
      </c>
      <c r="Y8" s="33"/>
      <c r="Z8" s="33"/>
      <c r="AB8" s="15">
        <f>B8+B9</f>
        <v>1571</v>
      </c>
    </row>
    <row r="9" spans="1:29" ht="22.5" customHeight="1" x14ac:dyDescent="0.25">
      <c r="A9" s="28" t="s">
        <v>29</v>
      </c>
      <c r="B9" s="14">
        <f t="shared" si="1"/>
        <v>577</v>
      </c>
      <c r="C9" s="14">
        <v>260</v>
      </c>
      <c r="D9" s="14">
        <v>70</v>
      </c>
      <c r="E9" s="14"/>
      <c r="F9" s="14">
        <v>40</v>
      </c>
      <c r="G9" s="14"/>
      <c r="H9" s="33"/>
      <c r="I9" s="33"/>
      <c r="J9" s="33"/>
      <c r="K9" s="33"/>
      <c r="L9" s="33"/>
      <c r="M9" s="33"/>
      <c r="N9" s="35">
        <v>97</v>
      </c>
      <c r="O9" s="35"/>
      <c r="P9" s="35"/>
      <c r="Q9" s="35">
        <f>50+20</f>
        <v>70</v>
      </c>
      <c r="R9" s="33">
        <v>10</v>
      </c>
      <c r="S9" s="33"/>
      <c r="T9" s="33"/>
      <c r="U9" s="33"/>
      <c r="V9" s="33">
        <v>30</v>
      </c>
      <c r="W9" s="33"/>
      <c r="X9" s="33"/>
      <c r="Y9" s="33"/>
      <c r="Z9" s="33"/>
    </row>
    <row r="10" spans="1:29" ht="22.5" customHeight="1" x14ac:dyDescent="0.25">
      <c r="A10" s="28" t="s">
        <v>30</v>
      </c>
      <c r="B10" s="14">
        <f t="shared" si="1"/>
        <v>259</v>
      </c>
      <c r="C10" s="14">
        <v>133</v>
      </c>
      <c r="D10" s="14"/>
      <c r="E10" s="14"/>
      <c r="F10" s="14"/>
      <c r="G10" s="14"/>
      <c r="H10" s="33"/>
      <c r="I10" s="33"/>
      <c r="J10" s="33"/>
      <c r="K10" s="33"/>
      <c r="L10" s="33">
        <v>16</v>
      </c>
      <c r="M10" s="33"/>
      <c r="N10" s="35">
        <v>50</v>
      </c>
      <c r="O10" s="35">
        <v>-1</v>
      </c>
      <c r="P10" s="35"/>
      <c r="Q10" s="35">
        <f>10+10</f>
        <v>20</v>
      </c>
      <c r="R10" s="33"/>
      <c r="S10" s="33"/>
      <c r="T10" s="33">
        <v>41</v>
      </c>
      <c r="U10" s="33"/>
      <c r="V10" s="33"/>
      <c r="W10" s="33"/>
      <c r="X10" s="33"/>
      <c r="Y10" s="33"/>
      <c r="Z10" s="33"/>
      <c r="AB10" s="15">
        <f>B10+B11+B12</f>
        <v>513</v>
      </c>
    </row>
    <row r="11" spans="1:29" ht="22.5" customHeight="1" x14ac:dyDescent="0.25">
      <c r="A11" s="28" t="s">
        <v>31</v>
      </c>
      <c r="B11" s="14">
        <f t="shared" si="1"/>
        <v>144</v>
      </c>
      <c r="C11" s="14"/>
      <c r="D11" s="14"/>
      <c r="E11" s="14"/>
      <c r="F11" s="14"/>
      <c r="G11" s="14"/>
      <c r="H11" s="33">
        <v>22</v>
      </c>
      <c r="I11" s="33"/>
      <c r="J11" s="35">
        <v>8</v>
      </c>
      <c r="K11" s="35">
        <v>15</v>
      </c>
      <c r="L11" s="35"/>
      <c r="M11" s="35"/>
      <c r="N11" s="35">
        <v>50</v>
      </c>
      <c r="O11" s="35"/>
      <c r="P11" s="35"/>
      <c r="Q11" s="35"/>
      <c r="R11" s="33"/>
      <c r="S11" s="33"/>
      <c r="T11" s="33">
        <v>49</v>
      </c>
      <c r="U11" s="33"/>
      <c r="V11" s="33"/>
      <c r="W11" s="33"/>
      <c r="X11" s="33"/>
      <c r="Y11" s="33"/>
      <c r="Z11" s="33"/>
    </row>
    <row r="12" spans="1:29" ht="22.5" customHeight="1" x14ac:dyDescent="0.25">
      <c r="A12" s="28" t="s">
        <v>32</v>
      </c>
      <c r="B12" s="14">
        <f t="shared" si="1"/>
        <v>110</v>
      </c>
      <c r="C12" s="14"/>
      <c r="D12" s="14"/>
      <c r="E12" s="14"/>
      <c r="F12" s="14"/>
      <c r="G12" s="14"/>
      <c r="H12" s="33">
        <v>22</v>
      </c>
      <c r="I12" s="33"/>
      <c r="J12" s="35">
        <v>8</v>
      </c>
      <c r="K12" s="33">
        <v>30</v>
      </c>
      <c r="L12" s="33"/>
      <c r="M12" s="33"/>
      <c r="N12" s="35">
        <v>50</v>
      </c>
      <c r="O12" s="35"/>
      <c r="P12" s="35"/>
      <c r="Q12" s="35"/>
      <c r="R12" s="33"/>
      <c r="S12" s="33"/>
      <c r="T12" s="33"/>
      <c r="U12" s="33"/>
      <c r="V12" s="33"/>
      <c r="W12" s="33"/>
      <c r="X12" s="33"/>
      <c r="Y12" s="33"/>
      <c r="Z12" s="33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5.75" x14ac:dyDescent="0.25"/>
  <cols>
    <col min="1" max="1" width="9.75" customWidth="1"/>
    <col min="3" max="3" width="13.375" customWidth="1"/>
    <col min="4" max="5" width="9" customWidth="1"/>
    <col min="6" max="9" width="9.875" bestFit="1" customWidth="1"/>
    <col min="10" max="32" width="9.875" customWidth="1"/>
  </cols>
  <sheetData>
    <row r="1" spans="1:36" ht="26.25" customHeight="1" x14ac:dyDescent="0.3">
      <c r="A1" s="88" t="s">
        <v>66</v>
      </c>
      <c r="B1" s="88"/>
      <c r="C1" s="88"/>
      <c r="D1" s="88"/>
      <c r="E1" s="88"/>
      <c r="F1" s="88"/>
      <c r="G1" s="88"/>
      <c r="H1" s="88"/>
      <c r="I1" s="31"/>
      <c r="J1" s="36"/>
      <c r="K1" s="36"/>
      <c r="L1" s="58"/>
      <c r="M1" s="58"/>
      <c r="N1" s="58"/>
      <c r="O1" s="62"/>
      <c r="P1" s="62"/>
      <c r="Q1" s="64"/>
      <c r="R1" s="64"/>
      <c r="S1" s="78"/>
      <c r="T1" s="78"/>
      <c r="U1" s="78"/>
      <c r="V1" s="80"/>
      <c r="W1" s="80"/>
      <c r="X1" s="80"/>
      <c r="Y1" s="80"/>
      <c r="Z1" s="80"/>
      <c r="AA1" s="82"/>
      <c r="AB1" s="82"/>
      <c r="AC1" s="82"/>
      <c r="AD1" s="82"/>
      <c r="AE1" s="86"/>
      <c r="AF1" s="86"/>
      <c r="AG1" s="31"/>
    </row>
    <row r="3" spans="1:36" s="20" customFormat="1" ht="22.5" customHeight="1" x14ac:dyDescent="0.25">
      <c r="A3" s="23" t="s">
        <v>1</v>
      </c>
      <c r="B3" s="23" t="s">
        <v>21</v>
      </c>
      <c r="C3" s="18" t="s">
        <v>77</v>
      </c>
      <c r="D3" s="18" t="s">
        <v>118</v>
      </c>
      <c r="E3" s="18" t="s">
        <v>122</v>
      </c>
      <c r="F3" s="55">
        <v>42927</v>
      </c>
      <c r="G3" s="55">
        <v>42929</v>
      </c>
      <c r="H3" s="55">
        <v>42933</v>
      </c>
      <c r="I3" s="34">
        <v>42935</v>
      </c>
      <c r="J3" s="34">
        <v>42936</v>
      </c>
      <c r="K3" s="34">
        <v>42940</v>
      </c>
      <c r="L3" s="34">
        <v>42941</v>
      </c>
      <c r="M3" s="34">
        <v>42942</v>
      </c>
      <c r="N3" s="34">
        <v>42944</v>
      </c>
      <c r="O3" s="34">
        <v>42950</v>
      </c>
      <c r="P3" s="34" t="s">
        <v>143</v>
      </c>
      <c r="Q3" s="34" t="s">
        <v>144</v>
      </c>
      <c r="R3" s="34">
        <v>42971</v>
      </c>
      <c r="S3" s="34">
        <v>42972</v>
      </c>
      <c r="T3" s="34" t="s">
        <v>172</v>
      </c>
      <c r="U3" s="34">
        <v>42984</v>
      </c>
      <c r="V3" s="34">
        <v>42989</v>
      </c>
      <c r="W3" s="34">
        <v>42991</v>
      </c>
      <c r="X3" s="34">
        <v>42998</v>
      </c>
      <c r="Y3" s="34">
        <v>43000</v>
      </c>
      <c r="Z3" s="34">
        <v>43004</v>
      </c>
      <c r="AA3" s="34">
        <v>43007</v>
      </c>
      <c r="AB3" s="34" t="s">
        <v>186</v>
      </c>
      <c r="AC3" s="34">
        <v>43022</v>
      </c>
      <c r="AD3" s="34">
        <v>43034</v>
      </c>
      <c r="AE3" s="34"/>
      <c r="AF3" s="34"/>
      <c r="AG3" s="32"/>
      <c r="AH3" s="19"/>
      <c r="AI3" s="19"/>
    </row>
    <row r="4" spans="1:36" ht="22.5" customHeight="1" x14ac:dyDescent="0.25">
      <c r="A4" s="23" t="s">
        <v>23</v>
      </c>
      <c r="B4" s="17">
        <f>B5+B17</f>
        <v>5240</v>
      </c>
      <c r="C4" s="17">
        <f>C5+C17</f>
        <v>702</v>
      </c>
      <c r="D4" s="17">
        <f t="shared" ref="D4:AH4" si="0">D5+D17</f>
        <v>294</v>
      </c>
      <c r="E4" s="17">
        <f t="shared" si="0"/>
        <v>197</v>
      </c>
      <c r="F4" s="17">
        <f t="shared" si="0"/>
        <v>246</v>
      </c>
      <c r="G4" s="17">
        <f t="shared" si="0"/>
        <v>47</v>
      </c>
      <c r="H4" s="17">
        <f t="shared" si="0"/>
        <v>102</v>
      </c>
      <c r="I4" s="17">
        <f t="shared" si="0"/>
        <v>189</v>
      </c>
      <c r="J4" s="17">
        <f t="shared" si="0"/>
        <v>131</v>
      </c>
      <c r="K4" s="17">
        <f t="shared" si="0"/>
        <v>134</v>
      </c>
      <c r="L4" s="17">
        <f t="shared" si="0"/>
        <v>171</v>
      </c>
      <c r="M4" s="17">
        <f t="shared" si="0"/>
        <v>46</v>
      </c>
      <c r="N4" s="17">
        <f t="shared" si="0"/>
        <v>133</v>
      </c>
      <c r="O4" s="17">
        <f t="shared" si="0"/>
        <v>70</v>
      </c>
      <c r="P4" s="17">
        <f t="shared" si="0"/>
        <v>104</v>
      </c>
      <c r="Q4" s="17">
        <f t="shared" si="0"/>
        <v>150</v>
      </c>
      <c r="R4" s="17">
        <f t="shared" si="0"/>
        <v>136</v>
      </c>
      <c r="S4" s="17">
        <f t="shared" si="0"/>
        <v>138</v>
      </c>
      <c r="T4" s="17">
        <f t="shared" si="0"/>
        <v>104</v>
      </c>
      <c r="U4" s="17">
        <f t="shared" si="0"/>
        <v>276</v>
      </c>
      <c r="V4" s="17">
        <f t="shared" si="0"/>
        <v>60</v>
      </c>
      <c r="W4" s="17">
        <f t="shared" si="0"/>
        <v>149</v>
      </c>
      <c r="X4" s="17">
        <f t="shared" si="0"/>
        <v>164</v>
      </c>
      <c r="Y4" s="17">
        <f t="shared" si="0"/>
        <v>351</v>
      </c>
      <c r="Z4" s="17">
        <f t="shared" si="0"/>
        <v>164</v>
      </c>
      <c r="AA4" s="17">
        <f t="shared" si="0"/>
        <v>54</v>
      </c>
      <c r="AB4" s="17">
        <f t="shared" si="0"/>
        <v>294</v>
      </c>
      <c r="AC4" s="17">
        <f t="shared" si="0"/>
        <v>283</v>
      </c>
      <c r="AD4" s="17">
        <f t="shared" si="0"/>
        <v>351</v>
      </c>
      <c r="AE4" s="17">
        <f t="shared" si="0"/>
        <v>0</v>
      </c>
      <c r="AF4" s="17">
        <f t="shared" si="0"/>
        <v>0</v>
      </c>
      <c r="AG4" s="17">
        <f t="shared" si="0"/>
        <v>0</v>
      </c>
      <c r="AH4" s="17">
        <f t="shared" si="0"/>
        <v>5102</v>
      </c>
      <c r="AI4" s="1"/>
      <c r="AJ4" s="1"/>
    </row>
    <row r="5" spans="1:36" ht="23.25" customHeight="1" x14ac:dyDescent="0.25">
      <c r="A5" s="23" t="s">
        <v>15</v>
      </c>
      <c r="B5" s="17">
        <f>SUM(C5:AD5)</f>
        <v>4772</v>
      </c>
      <c r="C5" s="17">
        <f t="shared" ref="C5:F5" si="1">SUM(C6:C16)</f>
        <v>577</v>
      </c>
      <c r="D5" s="17">
        <f t="shared" si="1"/>
        <v>294</v>
      </c>
      <c r="E5" s="17">
        <f t="shared" si="1"/>
        <v>197</v>
      </c>
      <c r="F5" s="17">
        <f t="shared" si="1"/>
        <v>246</v>
      </c>
      <c r="G5" s="17">
        <f t="shared" ref="G5" si="2">SUM(G6:G16)</f>
        <v>47</v>
      </c>
      <c r="H5" s="17">
        <f t="shared" ref="H5:AH5" si="3">SUM(H6:H16)</f>
        <v>102</v>
      </c>
      <c r="I5" s="17">
        <f t="shared" si="3"/>
        <v>189</v>
      </c>
      <c r="J5" s="17">
        <f t="shared" si="3"/>
        <v>131</v>
      </c>
      <c r="K5" s="17">
        <f t="shared" si="3"/>
        <v>74</v>
      </c>
      <c r="L5" s="17">
        <f t="shared" si="3"/>
        <v>171</v>
      </c>
      <c r="M5" s="17">
        <f t="shared" si="3"/>
        <v>46</v>
      </c>
      <c r="N5" s="17">
        <f t="shared" si="3"/>
        <v>133</v>
      </c>
      <c r="O5" s="17">
        <f t="shared" si="3"/>
        <v>70</v>
      </c>
      <c r="P5" s="17">
        <f t="shared" si="3"/>
        <v>104</v>
      </c>
      <c r="Q5" s="17">
        <f t="shared" si="3"/>
        <v>0</v>
      </c>
      <c r="R5" s="17">
        <f t="shared" si="3"/>
        <v>136</v>
      </c>
      <c r="S5" s="17">
        <f t="shared" si="3"/>
        <v>138</v>
      </c>
      <c r="T5" s="17">
        <f t="shared" si="3"/>
        <v>104</v>
      </c>
      <c r="U5" s="17">
        <f t="shared" si="3"/>
        <v>276</v>
      </c>
      <c r="V5" s="17">
        <f t="shared" si="3"/>
        <v>60</v>
      </c>
      <c r="W5" s="17">
        <f t="shared" si="3"/>
        <v>149</v>
      </c>
      <c r="X5" s="17">
        <f t="shared" si="3"/>
        <v>164</v>
      </c>
      <c r="Y5" s="17">
        <f t="shared" si="3"/>
        <v>227</v>
      </c>
      <c r="Z5" s="17">
        <f t="shared" si="3"/>
        <v>164</v>
      </c>
      <c r="AA5" s="17">
        <f t="shared" si="3"/>
        <v>45</v>
      </c>
      <c r="AB5" s="17">
        <f t="shared" si="3"/>
        <v>294</v>
      </c>
      <c r="AC5" s="17">
        <f t="shared" si="3"/>
        <v>283</v>
      </c>
      <c r="AD5" s="17">
        <f t="shared" si="3"/>
        <v>351</v>
      </c>
      <c r="AE5" s="17">
        <f t="shared" si="3"/>
        <v>0</v>
      </c>
      <c r="AF5" s="17">
        <f t="shared" si="3"/>
        <v>0</v>
      </c>
      <c r="AG5" s="17">
        <f t="shared" si="3"/>
        <v>0</v>
      </c>
      <c r="AH5" s="17">
        <f t="shared" si="3"/>
        <v>4654</v>
      </c>
      <c r="AI5" s="1"/>
      <c r="AJ5" s="1"/>
    </row>
    <row r="6" spans="1:36" ht="23.25" customHeight="1" x14ac:dyDescent="0.25">
      <c r="A6" s="23" t="s">
        <v>3</v>
      </c>
      <c r="B6" s="14">
        <f>SUM(C6:AD6)</f>
        <v>293</v>
      </c>
      <c r="C6" s="14">
        <v>52</v>
      </c>
      <c r="D6" s="14"/>
      <c r="E6" s="14">
        <v>47</v>
      </c>
      <c r="F6" s="14"/>
      <c r="G6" s="14">
        <v>47</v>
      </c>
      <c r="H6" s="14"/>
      <c r="I6" s="33"/>
      <c r="J6" s="33">
        <v>71</v>
      </c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>
        <v>3</v>
      </c>
      <c r="Z6" s="33"/>
      <c r="AA6" s="33">
        <v>3</v>
      </c>
      <c r="AB6" s="33">
        <v>70</v>
      </c>
      <c r="AC6" s="33"/>
      <c r="AD6" s="33"/>
      <c r="AE6" s="33"/>
      <c r="AF6" s="33"/>
      <c r="AG6" s="33"/>
      <c r="AH6">
        <f>B6+B7</f>
        <v>1017</v>
      </c>
    </row>
    <row r="7" spans="1:36" ht="23.25" customHeight="1" x14ac:dyDescent="0.25">
      <c r="A7" s="28" t="s">
        <v>4</v>
      </c>
      <c r="B7" s="14">
        <f t="shared" ref="B7:B26" si="4">SUM(C7:AD7)</f>
        <v>724</v>
      </c>
      <c r="C7" s="14"/>
      <c r="D7" s="14"/>
      <c r="E7" s="14"/>
      <c r="F7" s="14">
        <v>150</v>
      </c>
      <c r="G7" s="14"/>
      <c r="H7" s="14">
        <v>62</v>
      </c>
      <c r="I7" s="33"/>
      <c r="J7" s="33"/>
      <c r="K7" s="33"/>
      <c r="L7" s="33"/>
      <c r="M7" s="33"/>
      <c r="N7" s="33"/>
      <c r="O7" s="33"/>
      <c r="P7" s="33"/>
      <c r="Q7" s="33"/>
      <c r="R7" s="33">
        <v>68</v>
      </c>
      <c r="S7" s="33"/>
      <c r="T7" s="33"/>
      <c r="U7" s="33">
        <v>84</v>
      </c>
      <c r="V7" s="33"/>
      <c r="W7" s="33"/>
      <c r="X7" s="33"/>
      <c r="Y7" s="33">
        <v>81</v>
      </c>
      <c r="Z7" s="33"/>
      <c r="AA7" s="33"/>
      <c r="AB7" s="33">
        <v>82</v>
      </c>
      <c r="AC7" s="33">
        <v>71</v>
      </c>
      <c r="AD7" s="35">
        <v>126</v>
      </c>
      <c r="AE7" s="33"/>
      <c r="AF7" s="33"/>
      <c r="AG7" s="33"/>
    </row>
    <row r="8" spans="1:36" ht="23.25" customHeight="1" x14ac:dyDescent="0.25">
      <c r="A8" s="23" t="s">
        <v>6</v>
      </c>
      <c r="B8" s="14">
        <f t="shared" si="4"/>
        <v>1291</v>
      </c>
      <c r="C8" s="14">
        <v>59</v>
      </c>
      <c r="D8" s="14">
        <v>144</v>
      </c>
      <c r="E8" s="14"/>
      <c r="F8" s="14"/>
      <c r="G8" s="14"/>
      <c r="H8" s="14"/>
      <c r="I8" s="25">
        <v>150</v>
      </c>
      <c r="J8" s="35">
        <v>60</v>
      </c>
      <c r="K8" s="35"/>
      <c r="L8" s="35">
        <f>71+100</f>
        <v>171</v>
      </c>
      <c r="M8" s="35">
        <v>46</v>
      </c>
      <c r="N8" s="35">
        <v>60</v>
      </c>
      <c r="O8" s="35">
        <v>70</v>
      </c>
      <c r="P8" s="35"/>
      <c r="Q8" s="35"/>
      <c r="R8" s="35"/>
      <c r="S8" s="35">
        <v>69</v>
      </c>
      <c r="T8" s="35"/>
      <c r="U8" s="35"/>
      <c r="V8" s="35"/>
      <c r="W8" s="35">
        <v>40</v>
      </c>
      <c r="X8" s="35">
        <v>101</v>
      </c>
      <c r="Y8" s="35">
        <v>102</v>
      </c>
      <c r="Z8" s="35">
        <v>2</v>
      </c>
      <c r="AA8" s="35"/>
      <c r="AB8" s="35">
        <v>71</v>
      </c>
      <c r="AC8" s="35">
        <v>71</v>
      </c>
      <c r="AD8" s="35">
        <v>75</v>
      </c>
      <c r="AE8" s="35"/>
      <c r="AF8" s="35"/>
      <c r="AG8" s="33"/>
      <c r="AH8">
        <f>B8+B9</f>
        <v>1424</v>
      </c>
    </row>
    <row r="9" spans="1:36" ht="23.25" customHeight="1" x14ac:dyDescent="0.25">
      <c r="A9" s="28" t="s">
        <v>7</v>
      </c>
      <c r="B9" s="14">
        <f t="shared" si="4"/>
        <v>133</v>
      </c>
      <c r="C9" s="14"/>
      <c r="D9" s="14"/>
      <c r="E9" s="14"/>
      <c r="F9" s="14"/>
      <c r="G9" s="14"/>
      <c r="H9" s="14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>
        <v>54</v>
      </c>
      <c r="V9" s="33"/>
      <c r="W9" s="33"/>
      <c r="X9" s="33"/>
      <c r="Y9" s="33"/>
      <c r="Z9" s="33">
        <v>78</v>
      </c>
      <c r="AA9" s="33">
        <v>1</v>
      </c>
      <c r="AB9" s="33"/>
      <c r="AC9" s="33"/>
      <c r="AD9" s="33"/>
      <c r="AE9" s="33"/>
      <c r="AF9" s="33"/>
      <c r="AG9" s="33"/>
    </row>
    <row r="10" spans="1:36" ht="23.25" customHeight="1" x14ac:dyDescent="0.25">
      <c r="A10" s="23" t="s">
        <v>9</v>
      </c>
      <c r="B10" s="14">
        <f t="shared" si="4"/>
        <v>782</v>
      </c>
      <c r="C10" s="14">
        <v>142</v>
      </c>
      <c r="D10" s="14"/>
      <c r="E10" s="14"/>
      <c r="F10" s="14">
        <v>75</v>
      </c>
      <c r="G10" s="14"/>
      <c r="H10" s="14"/>
      <c r="I10" s="33"/>
      <c r="J10" s="35"/>
      <c r="K10" s="35"/>
      <c r="L10" s="35"/>
      <c r="M10" s="35"/>
      <c r="N10" s="35">
        <v>72</v>
      </c>
      <c r="O10" s="35"/>
      <c r="P10" s="35">
        <v>52</v>
      </c>
      <c r="Q10" s="35"/>
      <c r="R10" s="35"/>
      <c r="S10" s="35">
        <v>69</v>
      </c>
      <c r="T10" s="35"/>
      <c r="U10" s="35"/>
      <c r="V10" s="35"/>
      <c r="W10" s="35">
        <v>71</v>
      </c>
      <c r="X10" s="35"/>
      <c r="Y10" s="35">
        <v>41</v>
      </c>
      <c r="Z10" s="35">
        <v>42</v>
      </c>
      <c r="AA10" s="35">
        <v>1</v>
      </c>
      <c r="AB10" s="35">
        <v>71</v>
      </c>
      <c r="AC10" s="35">
        <v>71</v>
      </c>
      <c r="AD10" s="35">
        <v>75</v>
      </c>
      <c r="AE10" s="35"/>
      <c r="AF10" s="35"/>
      <c r="AG10" s="33"/>
      <c r="AH10">
        <f>B10+B11+B12</f>
        <v>1700</v>
      </c>
    </row>
    <row r="11" spans="1:36" ht="23.25" customHeight="1" x14ac:dyDescent="0.25">
      <c r="A11" s="28" t="s">
        <v>10</v>
      </c>
      <c r="B11" s="14">
        <f t="shared" si="4"/>
        <v>147</v>
      </c>
      <c r="C11" s="14">
        <v>93</v>
      </c>
      <c r="D11" s="14"/>
      <c r="E11" s="14"/>
      <c r="F11" s="14"/>
      <c r="G11" s="14"/>
      <c r="H11" s="14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>
        <v>54</v>
      </c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6" ht="23.25" customHeight="1" x14ac:dyDescent="0.25">
      <c r="A12" s="23" t="s">
        <v>11</v>
      </c>
      <c r="B12" s="14">
        <f t="shared" si="4"/>
        <v>771</v>
      </c>
      <c r="C12" s="14">
        <v>121</v>
      </c>
      <c r="D12" s="14"/>
      <c r="E12" s="14">
        <v>150</v>
      </c>
      <c r="F12" s="14">
        <v>6</v>
      </c>
      <c r="G12" s="14"/>
      <c r="H12" s="14"/>
      <c r="I12" s="35"/>
      <c r="J12" s="35"/>
      <c r="K12" s="35"/>
      <c r="L12" s="35"/>
      <c r="M12" s="35"/>
      <c r="N12" s="35"/>
      <c r="O12" s="35"/>
      <c r="P12" s="35">
        <v>52</v>
      </c>
      <c r="Q12" s="35"/>
      <c r="R12" s="35">
        <v>68</v>
      </c>
      <c r="S12" s="35"/>
      <c r="T12" s="35"/>
      <c r="U12" s="35">
        <v>84</v>
      </c>
      <c r="V12" s="35"/>
      <c r="W12" s="35"/>
      <c r="X12" s="35">
        <v>63</v>
      </c>
      <c r="Y12" s="35"/>
      <c r="Z12" s="35">
        <v>42</v>
      </c>
      <c r="AA12" s="35">
        <v>40</v>
      </c>
      <c r="AB12" s="35"/>
      <c r="AC12" s="35">
        <v>70</v>
      </c>
      <c r="AD12" s="35">
        <v>75</v>
      </c>
      <c r="AE12" s="35"/>
      <c r="AF12" s="35"/>
      <c r="AG12" s="33"/>
    </row>
    <row r="13" spans="1:36" ht="23.25" customHeight="1" x14ac:dyDescent="0.25">
      <c r="A13" s="23" t="s">
        <v>12</v>
      </c>
      <c r="B13" s="14">
        <f t="shared" si="4"/>
        <v>315</v>
      </c>
      <c r="C13" s="14">
        <v>40</v>
      </c>
      <c r="D13" s="14">
        <v>150</v>
      </c>
      <c r="E13" s="14"/>
      <c r="F13" s="14">
        <v>15</v>
      </c>
      <c r="G13" s="14"/>
      <c r="H13" s="14">
        <v>20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>
        <v>52</v>
      </c>
      <c r="U13" s="33"/>
      <c r="V13" s="33"/>
      <c r="W13" s="33">
        <v>38</v>
      </c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>
        <f>B13+B14+B16</f>
        <v>513</v>
      </c>
    </row>
    <row r="14" spans="1:36" ht="23.25" customHeight="1" x14ac:dyDescent="0.25">
      <c r="A14" s="23" t="s">
        <v>13</v>
      </c>
      <c r="B14" s="14">
        <f t="shared" si="4"/>
        <v>148</v>
      </c>
      <c r="C14" s="14">
        <v>39</v>
      </c>
      <c r="D14" s="14"/>
      <c r="E14" s="14"/>
      <c r="F14" s="14"/>
      <c r="G14" s="14"/>
      <c r="H14" s="14">
        <v>20</v>
      </c>
      <c r="I14" s="33"/>
      <c r="J14" s="33"/>
      <c r="K14" s="33">
        <v>37</v>
      </c>
      <c r="L14" s="33"/>
      <c r="M14" s="33"/>
      <c r="N14" s="33"/>
      <c r="O14" s="33"/>
      <c r="P14" s="33"/>
      <c r="Q14" s="33"/>
      <c r="R14" s="33"/>
      <c r="S14" s="33"/>
      <c r="T14" s="33">
        <v>52</v>
      </c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6" ht="23.25" customHeight="1" x14ac:dyDescent="0.25">
      <c r="A15" s="28" t="s">
        <v>14</v>
      </c>
      <c r="B15" s="14">
        <f t="shared" si="4"/>
        <v>118</v>
      </c>
      <c r="C15" s="14">
        <v>31</v>
      </c>
      <c r="D15" s="14"/>
      <c r="E15" s="14"/>
      <c r="F15" s="14"/>
      <c r="G15" s="14"/>
      <c r="H15" s="14"/>
      <c r="I15" s="33">
        <v>20</v>
      </c>
      <c r="J15" s="33"/>
      <c r="K15" s="33">
        <v>37</v>
      </c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>
        <v>30</v>
      </c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6" ht="23.25" customHeight="1" x14ac:dyDescent="0.25">
      <c r="A16" s="23" t="s">
        <v>125</v>
      </c>
      <c r="B16" s="14">
        <f t="shared" si="4"/>
        <v>50</v>
      </c>
      <c r="C16" s="14"/>
      <c r="D16" s="14"/>
      <c r="E16" s="14"/>
      <c r="F16" s="14"/>
      <c r="G16" s="14"/>
      <c r="H16" s="14"/>
      <c r="I16" s="33">
        <v>19</v>
      </c>
      <c r="J16" s="33"/>
      <c r="K16" s="33"/>
      <c r="L16" s="33"/>
      <c r="M16" s="33"/>
      <c r="N16" s="33">
        <v>1</v>
      </c>
      <c r="O16" s="33"/>
      <c r="P16" s="33"/>
      <c r="Q16" s="33"/>
      <c r="R16" s="33"/>
      <c r="S16" s="33"/>
      <c r="T16" s="33"/>
      <c r="U16" s="33"/>
      <c r="V16" s="33">
        <v>30</v>
      </c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4" ht="23.25" customHeight="1" x14ac:dyDescent="0.25">
      <c r="A17" s="23" t="s">
        <v>16</v>
      </c>
      <c r="B17" s="17">
        <f t="shared" si="4"/>
        <v>468</v>
      </c>
      <c r="C17" s="17">
        <f>SUM(C18:C26)</f>
        <v>125</v>
      </c>
      <c r="D17" s="17">
        <f t="shared" ref="D17:AG17" si="5">SUM(D18:D26)</f>
        <v>0</v>
      </c>
      <c r="E17" s="17">
        <f t="shared" si="5"/>
        <v>0</v>
      </c>
      <c r="F17" s="17">
        <f t="shared" si="5"/>
        <v>0</v>
      </c>
      <c r="G17" s="17">
        <f t="shared" si="5"/>
        <v>0</v>
      </c>
      <c r="H17" s="17">
        <f t="shared" si="5"/>
        <v>0</v>
      </c>
      <c r="I17" s="17">
        <f t="shared" si="5"/>
        <v>0</v>
      </c>
      <c r="J17" s="17">
        <f t="shared" si="5"/>
        <v>0</v>
      </c>
      <c r="K17" s="17">
        <f t="shared" si="5"/>
        <v>60</v>
      </c>
      <c r="L17" s="17">
        <f t="shared" si="5"/>
        <v>0</v>
      </c>
      <c r="M17" s="17">
        <f t="shared" si="5"/>
        <v>0</v>
      </c>
      <c r="N17" s="17">
        <f t="shared" si="5"/>
        <v>0</v>
      </c>
      <c r="O17" s="17">
        <f t="shared" si="5"/>
        <v>0</v>
      </c>
      <c r="P17" s="17">
        <f t="shared" si="5"/>
        <v>0</v>
      </c>
      <c r="Q17" s="17">
        <f t="shared" si="5"/>
        <v>150</v>
      </c>
      <c r="R17" s="17">
        <f t="shared" si="5"/>
        <v>0</v>
      </c>
      <c r="S17" s="17">
        <f t="shared" si="5"/>
        <v>0</v>
      </c>
      <c r="T17" s="17">
        <f t="shared" si="5"/>
        <v>0</v>
      </c>
      <c r="U17" s="17">
        <f t="shared" si="5"/>
        <v>0</v>
      </c>
      <c r="V17" s="17">
        <f t="shared" si="5"/>
        <v>0</v>
      </c>
      <c r="W17" s="17">
        <f t="shared" si="5"/>
        <v>0</v>
      </c>
      <c r="X17" s="17">
        <f t="shared" si="5"/>
        <v>0</v>
      </c>
      <c r="Y17" s="17">
        <f t="shared" si="5"/>
        <v>124</v>
      </c>
      <c r="Z17" s="17">
        <f t="shared" si="5"/>
        <v>0</v>
      </c>
      <c r="AA17" s="17">
        <f t="shared" si="5"/>
        <v>9</v>
      </c>
      <c r="AB17" s="17">
        <f t="shared" si="5"/>
        <v>0</v>
      </c>
      <c r="AC17" s="17">
        <f t="shared" si="5"/>
        <v>0</v>
      </c>
      <c r="AD17" s="17">
        <f t="shared" si="5"/>
        <v>0</v>
      </c>
      <c r="AE17" s="17"/>
      <c r="AF17" s="17"/>
      <c r="AG17" s="17">
        <f t="shared" si="5"/>
        <v>0</v>
      </c>
      <c r="AH17" s="17">
        <f t="shared" ref="AH17" si="6">SUM(AH18:AH25)</f>
        <v>448</v>
      </c>
    </row>
    <row r="18" spans="1:34" ht="23.25" customHeight="1" x14ac:dyDescent="0.25">
      <c r="A18" s="24" t="s">
        <v>17</v>
      </c>
      <c r="B18" s="14">
        <f t="shared" si="4"/>
        <v>26</v>
      </c>
      <c r="C18" s="25">
        <v>2</v>
      </c>
      <c r="Q18">
        <v>20</v>
      </c>
      <c r="Y18">
        <v>2</v>
      </c>
      <c r="AA18">
        <v>2</v>
      </c>
      <c r="AH18">
        <f>B18+B19+B20+B21+B22+B23</f>
        <v>330</v>
      </c>
    </row>
    <row r="19" spans="1:34" ht="23.25" customHeight="1" x14ac:dyDescent="0.25">
      <c r="A19" s="24" t="s">
        <v>18</v>
      </c>
      <c r="B19" s="14">
        <f t="shared" si="4"/>
        <v>62</v>
      </c>
      <c r="Q19">
        <v>30</v>
      </c>
      <c r="Y19">
        <v>31</v>
      </c>
      <c r="AA19">
        <v>1</v>
      </c>
    </row>
    <row r="20" spans="1:34" ht="23.25" customHeight="1" x14ac:dyDescent="0.25">
      <c r="A20" s="24" t="s">
        <v>3</v>
      </c>
      <c r="B20" s="14">
        <f t="shared" si="4"/>
        <v>91</v>
      </c>
      <c r="Q20">
        <v>60</v>
      </c>
      <c r="Y20">
        <v>30</v>
      </c>
      <c r="AA20">
        <v>1</v>
      </c>
    </row>
    <row r="21" spans="1:34" ht="23.25" customHeight="1" x14ac:dyDescent="0.25">
      <c r="A21" s="24" t="s">
        <v>19</v>
      </c>
      <c r="B21" s="14">
        <f t="shared" si="4"/>
        <v>91</v>
      </c>
      <c r="C21">
        <v>29</v>
      </c>
      <c r="K21">
        <v>30</v>
      </c>
      <c r="Y21">
        <v>31</v>
      </c>
      <c r="AA21">
        <v>1</v>
      </c>
    </row>
    <row r="22" spans="1:34" ht="23.25" customHeight="1" x14ac:dyDescent="0.25">
      <c r="A22" s="24" t="s">
        <v>20</v>
      </c>
      <c r="B22" s="14">
        <f t="shared" si="4"/>
        <v>29</v>
      </c>
      <c r="C22">
        <v>8</v>
      </c>
      <c r="Q22">
        <v>20</v>
      </c>
      <c r="AA22">
        <v>1</v>
      </c>
    </row>
    <row r="23" spans="1:34" ht="23.25" customHeight="1" x14ac:dyDescent="0.25">
      <c r="A23" s="24" t="s">
        <v>4</v>
      </c>
      <c r="B23" s="14">
        <f t="shared" si="4"/>
        <v>31</v>
      </c>
      <c r="C23">
        <v>29</v>
      </c>
      <c r="AA23">
        <v>2</v>
      </c>
    </row>
    <row r="24" spans="1:34" ht="23.25" customHeight="1" x14ac:dyDescent="0.25">
      <c r="A24" s="24" t="s">
        <v>6</v>
      </c>
      <c r="B24" s="14">
        <f t="shared" si="4"/>
        <v>83</v>
      </c>
      <c r="C24">
        <v>22</v>
      </c>
      <c r="K24">
        <v>30</v>
      </c>
      <c r="Y24">
        <v>30</v>
      </c>
      <c r="AA24">
        <v>1</v>
      </c>
      <c r="AH24">
        <f>B24+B25</f>
        <v>118</v>
      </c>
    </row>
    <row r="25" spans="1:34" ht="23.25" customHeight="1" x14ac:dyDescent="0.25">
      <c r="A25" s="24" t="s">
        <v>7</v>
      </c>
      <c r="B25" s="14">
        <f t="shared" si="4"/>
        <v>35</v>
      </c>
      <c r="C25">
        <v>35</v>
      </c>
    </row>
    <row r="26" spans="1:34" x14ac:dyDescent="0.25">
      <c r="A26" s="24" t="s">
        <v>9</v>
      </c>
      <c r="B26" s="14">
        <f t="shared" si="4"/>
        <v>20</v>
      </c>
      <c r="Q26">
        <v>20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workbookViewId="0">
      <pane xSplit="4" ySplit="4" topLeftCell="U14" activePane="bottomRight" state="frozen"/>
      <selection pane="topRight" activeCell="E1" sqref="E1"/>
      <selection pane="bottomLeft" activeCell="A5" sqref="A5"/>
      <selection pane="bottomRight" activeCell="AC25" sqref="AC25"/>
    </sheetView>
  </sheetViews>
  <sheetFormatPr defaultRowHeight="15.75" x14ac:dyDescent="0.25"/>
  <cols>
    <col min="1" max="1" width="4.5" style="42" customWidth="1"/>
    <col min="2" max="2" width="11" style="42" customWidth="1"/>
    <col min="3" max="3" width="9" style="42"/>
    <col min="4" max="4" width="12.375" style="42" bestFit="1" customWidth="1"/>
    <col min="5" max="5" width="9.125" style="42" bestFit="1" customWidth="1"/>
    <col min="6" max="6" width="12.375" style="42" bestFit="1" customWidth="1"/>
    <col min="7" max="7" width="9.125" style="42" bestFit="1" customWidth="1"/>
    <col min="8" max="8" width="10.875" style="42" bestFit="1" customWidth="1"/>
    <col min="9" max="9" width="7.625" style="42" customWidth="1"/>
    <col min="10" max="10" width="11.125" style="42" customWidth="1"/>
    <col min="11" max="11" width="7.25" style="42" customWidth="1"/>
    <col min="12" max="12" width="12" style="42" customWidth="1"/>
    <col min="13" max="13" width="7.5" style="42" customWidth="1"/>
    <col min="14" max="14" width="11.125" style="42" customWidth="1"/>
    <col min="15" max="15" width="7.75" style="42" customWidth="1"/>
    <col min="16" max="16" width="10.5" style="42" customWidth="1"/>
    <col min="17" max="17" width="7.75" style="42" customWidth="1"/>
    <col min="18" max="18" width="11.125" style="42" customWidth="1"/>
    <col min="19" max="19" width="8.375" style="42" customWidth="1"/>
    <col min="20" max="20" width="11.125" style="42" customWidth="1"/>
    <col min="21" max="22" width="10.875" style="42" bestFit="1" customWidth="1"/>
    <col min="23" max="23" width="8.375" style="42" bestFit="1" customWidth="1"/>
    <col min="24" max="24" width="10.875" style="42" bestFit="1" customWidth="1"/>
    <col min="25" max="25" width="9" style="42"/>
    <col min="26" max="26" width="9.875" style="42" bestFit="1" customWidth="1"/>
    <col min="27" max="16384" width="9" style="42"/>
  </cols>
  <sheetData>
    <row r="1" spans="1:32" ht="18.75" x14ac:dyDescent="0.3">
      <c r="A1" s="89" t="s">
        <v>33</v>
      </c>
      <c r="B1" s="89"/>
      <c r="C1" s="89"/>
      <c r="D1" s="89"/>
      <c r="E1" s="89"/>
      <c r="F1" s="89"/>
      <c r="G1" s="89"/>
      <c r="H1" s="89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3" spans="1:32" x14ac:dyDescent="0.25">
      <c r="A3" s="92" t="s">
        <v>34</v>
      </c>
      <c r="B3" s="93" t="s">
        <v>40</v>
      </c>
      <c r="C3" s="93" t="s">
        <v>39</v>
      </c>
      <c r="D3" s="93" t="s">
        <v>41</v>
      </c>
      <c r="E3" s="92" t="s">
        <v>35</v>
      </c>
      <c r="F3" s="92"/>
      <c r="G3" s="92" t="s">
        <v>38</v>
      </c>
      <c r="H3" s="92"/>
      <c r="I3" s="92" t="s">
        <v>107</v>
      </c>
      <c r="J3" s="92"/>
      <c r="K3" s="92" t="s">
        <v>108</v>
      </c>
      <c r="L3" s="92"/>
      <c r="M3" s="92" t="s">
        <v>109</v>
      </c>
      <c r="N3" s="92"/>
      <c r="O3" s="92" t="s">
        <v>110</v>
      </c>
      <c r="P3" s="92"/>
      <c r="Q3" s="92" t="s">
        <v>111</v>
      </c>
      <c r="R3" s="92"/>
      <c r="S3" s="92" t="s">
        <v>112</v>
      </c>
      <c r="T3" s="92"/>
      <c r="U3" s="94" t="s">
        <v>113</v>
      </c>
      <c r="V3" s="94"/>
      <c r="W3" s="94" t="s">
        <v>114</v>
      </c>
      <c r="X3" s="94"/>
      <c r="Y3" s="94" t="s">
        <v>115</v>
      </c>
      <c r="Z3" s="94"/>
    </row>
    <row r="4" spans="1:32" ht="19.5" customHeight="1" x14ac:dyDescent="0.25">
      <c r="A4" s="92"/>
      <c r="B4" s="92"/>
      <c r="C4" s="92"/>
      <c r="D4" s="92"/>
      <c r="E4" s="43" t="s">
        <v>36</v>
      </c>
      <c r="F4" s="43" t="s">
        <v>37</v>
      </c>
      <c r="G4" s="43" t="s">
        <v>36</v>
      </c>
      <c r="H4" s="43" t="s">
        <v>37</v>
      </c>
      <c r="I4" s="43" t="s">
        <v>36</v>
      </c>
      <c r="J4" s="43" t="s">
        <v>37</v>
      </c>
      <c r="K4" s="43" t="s">
        <v>36</v>
      </c>
      <c r="L4" s="43" t="s">
        <v>37</v>
      </c>
      <c r="M4" s="43" t="s">
        <v>36</v>
      </c>
      <c r="N4" s="43" t="s">
        <v>37</v>
      </c>
      <c r="O4" s="43" t="s">
        <v>36</v>
      </c>
      <c r="P4" s="43" t="s">
        <v>37</v>
      </c>
      <c r="Q4" s="43" t="s">
        <v>36</v>
      </c>
      <c r="R4" s="43" t="s">
        <v>37</v>
      </c>
      <c r="S4" s="43" t="s">
        <v>36</v>
      </c>
      <c r="T4" s="43" t="s">
        <v>37</v>
      </c>
      <c r="U4" s="43" t="s">
        <v>36</v>
      </c>
      <c r="V4" s="43" t="s">
        <v>37</v>
      </c>
      <c r="W4" s="43" t="s">
        <v>36</v>
      </c>
      <c r="X4" s="43" t="s">
        <v>37</v>
      </c>
      <c r="Y4" s="43" t="s">
        <v>36</v>
      </c>
      <c r="Z4" s="43" t="s">
        <v>37</v>
      </c>
      <c r="AC4" s="42" t="s">
        <v>128</v>
      </c>
    </row>
    <row r="5" spans="1:32" x14ac:dyDescent="0.25">
      <c r="A5" s="44">
        <v>1</v>
      </c>
      <c r="B5" s="45" t="s">
        <v>105</v>
      </c>
      <c r="C5" s="44" t="s">
        <v>106</v>
      </c>
      <c r="D5" s="46">
        <f>F5+H5+J5+L5+N5+P5+R5+T5+V5+X5+Z5</f>
        <v>84654000</v>
      </c>
      <c r="E5" s="47">
        <v>330</v>
      </c>
      <c r="F5" s="47">
        <f>E5*135000</f>
        <v>44550000</v>
      </c>
      <c r="G5" s="47">
        <v>31</v>
      </c>
      <c r="H5" s="47">
        <f>G5*127000</f>
        <v>3937000</v>
      </c>
      <c r="I5" s="47">
        <v>15</v>
      </c>
      <c r="J5" s="47">
        <f>I5*135000</f>
        <v>2025000</v>
      </c>
      <c r="K5" s="47">
        <v>47</v>
      </c>
      <c r="L5" s="47">
        <f>K5*140000</f>
        <v>6580000</v>
      </c>
      <c r="M5" s="47">
        <v>60</v>
      </c>
      <c r="N5" s="47">
        <f>M5*145000</f>
        <v>8700000</v>
      </c>
      <c r="O5" s="47">
        <v>20</v>
      </c>
      <c r="P5" s="47">
        <f>O5*150000</f>
        <v>3000000</v>
      </c>
      <c r="Q5" s="47">
        <v>10</v>
      </c>
      <c r="R5" s="47">
        <f>Q5*130000</f>
        <v>1300000</v>
      </c>
      <c r="S5" s="47">
        <v>3</v>
      </c>
      <c r="T5" s="47">
        <f>S5*135000</f>
        <v>405000</v>
      </c>
      <c r="U5" s="51">
        <v>34</v>
      </c>
      <c r="V5" s="51">
        <f>U5*138000</f>
        <v>4692000</v>
      </c>
      <c r="W5" s="51">
        <v>30</v>
      </c>
      <c r="X5" s="51">
        <f>W5*145000</f>
        <v>4350000</v>
      </c>
      <c r="Y5" s="51">
        <v>31</v>
      </c>
      <c r="Z5" s="51">
        <f>Y5*165000</f>
        <v>5115000</v>
      </c>
      <c r="AA5" s="57">
        <f>SUM(E5:E9)+6</f>
        <v>1748</v>
      </c>
      <c r="AB5" s="57">
        <f>SUM(O5:O9)+2</f>
        <v>87</v>
      </c>
      <c r="AC5" s="42">
        <f>SUM(U8:U9)</f>
        <v>58</v>
      </c>
    </row>
    <row r="6" spans="1:32" x14ac:dyDescent="0.25">
      <c r="A6" s="44">
        <v>2</v>
      </c>
      <c r="B6" s="45" t="s">
        <v>122</v>
      </c>
      <c r="C6" s="44" t="s">
        <v>123</v>
      </c>
      <c r="D6" s="46">
        <f t="shared" ref="D6:D52" si="0">F6+H6+J6+L6+N6+P6+R6+T6+V6+X6+Z6</f>
        <v>94308000</v>
      </c>
      <c r="E6" s="47">
        <v>379</v>
      </c>
      <c r="F6" s="47">
        <f t="shared" ref="F6:F52" si="1">E6*135000</f>
        <v>51165000</v>
      </c>
      <c r="G6" s="47">
        <v>60</v>
      </c>
      <c r="H6" s="47">
        <f t="shared" ref="H6:H52" si="2">G6*127000</f>
        <v>7620000</v>
      </c>
      <c r="I6" s="47">
        <v>14</v>
      </c>
      <c r="J6" s="47">
        <f t="shared" ref="J6:J52" si="3">I6*135000</f>
        <v>1890000</v>
      </c>
      <c r="K6" s="47">
        <v>34</v>
      </c>
      <c r="L6" s="47">
        <f t="shared" ref="L6:L52" si="4">K6*140000</f>
        <v>4760000</v>
      </c>
      <c r="M6" s="47">
        <v>82</v>
      </c>
      <c r="N6" s="47">
        <f t="shared" ref="N6:N52" si="5">M6*145000</f>
        <v>11890000</v>
      </c>
      <c r="O6" s="47">
        <v>25</v>
      </c>
      <c r="P6" s="47">
        <f t="shared" ref="P6:P52" si="6">O6*150000</f>
        <v>3750000</v>
      </c>
      <c r="Q6" s="47">
        <v>15</v>
      </c>
      <c r="R6" s="47">
        <f t="shared" ref="R6:R52" si="7">Q6*130000</f>
        <v>1950000</v>
      </c>
      <c r="S6" s="47">
        <v>9</v>
      </c>
      <c r="T6" s="47">
        <f t="shared" ref="T6:T52" si="8">S6*135000</f>
        <v>1215000</v>
      </c>
      <c r="U6" s="52">
        <v>16</v>
      </c>
      <c r="V6" s="51">
        <f t="shared" ref="V6:V52" si="9">U6*138000</f>
        <v>2208000</v>
      </c>
      <c r="W6" s="51">
        <v>3</v>
      </c>
      <c r="X6" s="51">
        <f t="shared" ref="X6:X52" si="10">W6*145000</f>
        <v>435000</v>
      </c>
      <c r="Y6" s="51">
        <v>45</v>
      </c>
      <c r="Z6" s="51">
        <f t="shared" ref="Z6:Z52" si="11">Y6*165000</f>
        <v>7425000</v>
      </c>
      <c r="AA6" s="57">
        <f>SUM(G5:G9)+1</f>
        <v>245</v>
      </c>
      <c r="AB6" s="57">
        <f>SUM(Q5:Q9)</f>
        <v>64</v>
      </c>
      <c r="AC6" s="57">
        <f>SUM(W8:W9)</f>
        <v>150</v>
      </c>
    </row>
    <row r="7" spans="1:32" x14ac:dyDescent="0.25">
      <c r="A7" s="44">
        <v>3</v>
      </c>
      <c r="B7" s="45" t="s">
        <v>124</v>
      </c>
      <c r="C7" s="44" t="s">
        <v>126</v>
      </c>
      <c r="D7" s="46">
        <f t="shared" si="0"/>
        <v>95110000</v>
      </c>
      <c r="E7" s="47">
        <v>407</v>
      </c>
      <c r="F7" s="47">
        <f t="shared" si="1"/>
        <v>54945000</v>
      </c>
      <c r="G7" s="47">
        <v>70</v>
      </c>
      <c r="H7" s="47">
        <f t="shared" si="2"/>
        <v>8890000</v>
      </c>
      <c r="I7" s="47">
        <v>11</v>
      </c>
      <c r="J7" s="47">
        <f t="shared" si="3"/>
        <v>1485000</v>
      </c>
      <c r="K7" s="47">
        <v>53</v>
      </c>
      <c r="L7" s="47">
        <f t="shared" si="4"/>
        <v>7420000</v>
      </c>
      <c r="M7" s="47">
        <v>89</v>
      </c>
      <c r="N7" s="47">
        <f t="shared" si="5"/>
        <v>12905000</v>
      </c>
      <c r="O7" s="47">
        <v>21</v>
      </c>
      <c r="P7" s="47">
        <f t="shared" si="6"/>
        <v>3150000</v>
      </c>
      <c r="Q7" s="47">
        <v>18</v>
      </c>
      <c r="R7" s="47">
        <f t="shared" si="7"/>
        <v>2340000</v>
      </c>
      <c r="S7" s="47">
        <v>5</v>
      </c>
      <c r="T7" s="47">
        <f t="shared" si="8"/>
        <v>675000</v>
      </c>
      <c r="U7" s="52">
        <v>0</v>
      </c>
      <c r="V7" s="51">
        <f t="shared" si="9"/>
        <v>0</v>
      </c>
      <c r="W7" s="51">
        <v>0</v>
      </c>
      <c r="X7" s="51">
        <f t="shared" si="10"/>
        <v>0</v>
      </c>
      <c r="Y7" s="51">
        <v>20</v>
      </c>
      <c r="Z7" s="51">
        <f t="shared" si="11"/>
        <v>3300000</v>
      </c>
      <c r="AA7" s="57">
        <f>SUM(I5:I9)+2</f>
        <v>95</v>
      </c>
      <c r="AB7" s="57">
        <f>SUM(S5:S9)+1</f>
        <v>23</v>
      </c>
      <c r="AC7" s="57">
        <f>SUM(Y8:Y9)</f>
        <v>34</v>
      </c>
    </row>
    <row r="8" spans="1:32" x14ac:dyDescent="0.25">
      <c r="A8" s="44">
        <v>4</v>
      </c>
      <c r="B8" s="56">
        <v>42928</v>
      </c>
      <c r="C8" s="44" t="s">
        <v>127</v>
      </c>
      <c r="D8" s="46">
        <f t="shared" si="0"/>
        <v>87920000</v>
      </c>
      <c r="E8" s="47">
        <v>336</v>
      </c>
      <c r="F8" s="47">
        <f t="shared" si="1"/>
        <v>45360000</v>
      </c>
      <c r="G8" s="47">
        <v>43</v>
      </c>
      <c r="H8" s="47">
        <f t="shared" si="2"/>
        <v>5461000</v>
      </c>
      <c r="I8" s="47">
        <v>23</v>
      </c>
      <c r="J8" s="47">
        <f t="shared" si="3"/>
        <v>3105000</v>
      </c>
      <c r="K8" s="47">
        <v>48</v>
      </c>
      <c r="L8" s="47">
        <f t="shared" si="4"/>
        <v>6720000</v>
      </c>
      <c r="M8" s="47">
        <v>71</v>
      </c>
      <c r="N8" s="47">
        <f t="shared" si="5"/>
        <v>10295000</v>
      </c>
      <c r="O8" s="47">
        <v>11</v>
      </c>
      <c r="P8" s="47">
        <f t="shared" si="6"/>
        <v>1650000</v>
      </c>
      <c r="Q8" s="47">
        <v>11</v>
      </c>
      <c r="R8" s="47">
        <f t="shared" si="7"/>
        <v>1430000</v>
      </c>
      <c r="S8" s="47">
        <v>2</v>
      </c>
      <c r="T8" s="47">
        <f t="shared" si="8"/>
        <v>270000</v>
      </c>
      <c r="U8" s="52">
        <v>13</v>
      </c>
      <c r="V8" s="51">
        <f t="shared" si="9"/>
        <v>1794000</v>
      </c>
      <c r="W8" s="51">
        <v>60</v>
      </c>
      <c r="X8" s="51">
        <f t="shared" si="10"/>
        <v>8700000</v>
      </c>
      <c r="Y8" s="51">
        <v>19</v>
      </c>
      <c r="Z8" s="51">
        <f t="shared" si="11"/>
        <v>3135000</v>
      </c>
      <c r="AA8" s="57">
        <f>SUM(K5:K9)+37</f>
        <v>249</v>
      </c>
    </row>
    <row r="9" spans="1:32" s="79" customFormat="1" x14ac:dyDescent="0.25">
      <c r="A9" s="65">
        <v>5</v>
      </c>
      <c r="B9" s="66">
        <v>42930</v>
      </c>
      <c r="C9" s="65" t="s">
        <v>129</v>
      </c>
      <c r="D9" s="67">
        <f t="shared" si="0"/>
        <v>86545000</v>
      </c>
      <c r="E9" s="68">
        <v>290</v>
      </c>
      <c r="F9" s="68">
        <f t="shared" si="1"/>
        <v>39150000</v>
      </c>
      <c r="G9" s="68">
        <v>40</v>
      </c>
      <c r="H9" s="68">
        <f t="shared" si="2"/>
        <v>5080000</v>
      </c>
      <c r="I9" s="68">
        <v>30</v>
      </c>
      <c r="J9" s="68">
        <f t="shared" si="3"/>
        <v>4050000</v>
      </c>
      <c r="K9" s="68">
        <v>30</v>
      </c>
      <c r="L9" s="68">
        <f t="shared" si="4"/>
        <v>4200000</v>
      </c>
      <c r="M9" s="68">
        <v>65</v>
      </c>
      <c r="N9" s="68">
        <f t="shared" si="5"/>
        <v>9425000</v>
      </c>
      <c r="O9" s="68">
        <v>8</v>
      </c>
      <c r="P9" s="68">
        <f t="shared" si="6"/>
        <v>1200000</v>
      </c>
      <c r="Q9" s="68">
        <v>10</v>
      </c>
      <c r="R9" s="68">
        <f t="shared" si="7"/>
        <v>1300000</v>
      </c>
      <c r="S9" s="68">
        <v>3</v>
      </c>
      <c r="T9" s="68">
        <f t="shared" si="8"/>
        <v>405000</v>
      </c>
      <c r="U9" s="69">
        <v>45</v>
      </c>
      <c r="V9" s="69">
        <f t="shared" si="9"/>
        <v>6210000</v>
      </c>
      <c r="W9" s="69">
        <v>90</v>
      </c>
      <c r="X9" s="69">
        <f t="shared" si="10"/>
        <v>13050000</v>
      </c>
      <c r="Y9" s="69">
        <v>15</v>
      </c>
      <c r="Z9" s="69">
        <f t="shared" si="11"/>
        <v>2475000</v>
      </c>
      <c r="AA9" s="72">
        <f>SUM(M5:M9)+18</f>
        <v>385</v>
      </c>
      <c r="AB9" s="85">
        <f>AA5+AA6+AA7+AA8+AA9+AB5+AB6+AB7+AC5+AC6+AC7</f>
        <v>3138</v>
      </c>
    </row>
    <row r="10" spans="1:32" x14ac:dyDescent="0.25">
      <c r="A10" s="44">
        <v>6</v>
      </c>
      <c r="B10" s="56">
        <v>42933</v>
      </c>
      <c r="C10" s="44" t="s">
        <v>130</v>
      </c>
      <c r="D10" s="46">
        <f t="shared" si="0"/>
        <v>130385000</v>
      </c>
      <c r="E10" s="47">
        <v>490</v>
      </c>
      <c r="F10" s="47">
        <f t="shared" si="1"/>
        <v>66150000</v>
      </c>
      <c r="G10" s="47">
        <v>35</v>
      </c>
      <c r="H10" s="47">
        <f t="shared" si="2"/>
        <v>4445000</v>
      </c>
      <c r="I10" s="47">
        <v>75</v>
      </c>
      <c r="J10" s="47">
        <f t="shared" si="3"/>
        <v>10125000</v>
      </c>
      <c r="K10" s="47">
        <v>0</v>
      </c>
      <c r="L10" s="47">
        <f t="shared" si="4"/>
        <v>0</v>
      </c>
      <c r="M10" s="47">
        <v>93</v>
      </c>
      <c r="N10" s="47">
        <f t="shared" si="5"/>
        <v>13485000</v>
      </c>
      <c r="O10" s="47">
        <v>5</v>
      </c>
      <c r="P10" s="47">
        <f t="shared" si="6"/>
        <v>750000</v>
      </c>
      <c r="Q10" s="47">
        <v>0</v>
      </c>
      <c r="R10" s="47">
        <f t="shared" si="7"/>
        <v>0</v>
      </c>
      <c r="S10" s="47">
        <v>6</v>
      </c>
      <c r="T10" s="47">
        <f t="shared" si="8"/>
        <v>810000</v>
      </c>
      <c r="U10" s="52">
        <v>55</v>
      </c>
      <c r="V10" s="51">
        <f t="shared" si="9"/>
        <v>7590000</v>
      </c>
      <c r="W10" s="51">
        <v>150</v>
      </c>
      <c r="X10" s="51">
        <f t="shared" si="10"/>
        <v>21750000</v>
      </c>
      <c r="Y10" s="51">
        <v>32</v>
      </c>
      <c r="Z10" s="51">
        <f t="shared" si="11"/>
        <v>5280000</v>
      </c>
      <c r="AA10" s="57">
        <f>SUM(E10:E11)</f>
        <v>1110</v>
      </c>
      <c r="AB10" s="57">
        <f>SUM(I10:I11)</f>
        <v>190</v>
      </c>
      <c r="AC10" s="57">
        <f>SUM(M10:M11)</f>
        <v>143</v>
      </c>
      <c r="AD10" s="57">
        <f>SUM(Q10:Q11)</f>
        <v>5</v>
      </c>
      <c r="AE10" s="42">
        <f>SUM(U10:U11)</f>
        <v>202</v>
      </c>
      <c r="AF10" s="57">
        <f>SUM(Y10:Y11)</f>
        <v>62</v>
      </c>
    </row>
    <row r="11" spans="1:32" s="79" customFormat="1" x14ac:dyDescent="0.25">
      <c r="A11" s="65">
        <v>7</v>
      </c>
      <c r="B11" s="66">
        <v>42935</v>
      </c>
      <c r="C11" s="65" t="s">
        <v>131</v>
      </c>
      <c r="D11" s="67">
        <f t="shared" si="0"/>
        <v>182221000</v>
      </c>
      <c r="E11" s="68">
        <v>620</v>
      </c>
      <c r="F11" s="68">
        <f t="shared" si="1"/>
        <v>83700000</v>
      </c>
      <c r="G11" s="68">
        <v>60</v>
      </c>
      <c r="H11" s="68">
        <f t="shared" si="2"/>
        <v>7620000</v>
      </c>
      <c r="I11" s="68">
        <v>115</v>
      </c>
      <c r="J11" s="68">
        <f t="shared" si="3"/>
        <v>15525000</v>
      </c>
      <c r="K11" s="68">
        <v>20</v>
      </c>
      <c r="L11" s="68">
        <f t="shared" si="4"/>
        <v>2800000</v>
      </c>
      <c r="M11" s="68">
        <v>50</v>
      </c>
      <c r="N11" s="68">
        <f t="shared" si="5"/>
        <v>7250000</v>
      </c>
      <c r="O11" s="68">
        <v>20</v>
      </c>
      <c r="P11" s="68">
        <f t="shared" si="6"/>
        <v>3000000</v>
      </c>
      <c r="Q11" s="68">
        <v>5</v>
      </c>
      <c r="R11" s="68">
        <f t="shared" si="7"/>
        <v>650000</v>
      </c>
      <c r="S11" s="68">
        <v>10</v>
      </c>
      <c r="T11" s="68">
        <f t="shared" si="8"/>
        <v>1350000</v>
      </c>
      <c r="U11" s="69">
        <v>147</v>
      </c>
      <c r="V11" s="69">
        <f t="shared" si="9"/>
        <v>20286000</v>
      </c>
      <c r="W11" s="69">
        <v>242</v>
      </c>
      <c r="X11" s="69">
        <f t="shared" si="10"/>
        <v>35090000</v>
      </c>
      <c r="Y11" s="69">
        <v>30</v>
      </c>
      <c r="Z11" s="69">
        <f t="shared" si="11"/>
        <v>4950000</v>
      </c>
      <c r="AA11" s="72">
        <f>SUM(G10:G11)</f>
        <v>95</v>
      </c>
      <c r="AB11" s="72">
        <f>SUM(K10:K11)</f>
        <v>20</v>
      </c>
      <c r="AC11" s="72">
        <f>SUM(O10:O11)</f>
        <v>25</v>
      </c>
      <c r="AD11" s="72">
        <f>SUM(S10:S11)</f>
        <v>16</v>
      </c>
      <c r="AE11" s="72">
        <f>SUM(W10:W11)</f>
        <v>392</v>
      </c>
      <c r="AF11" s="85">
        <f>AA10+AA11+AB10+AB11+AC10+AC11+AD10+AD11+AE10+AE11+AF10</f>
        <v>2260</v>
      </c>
    </row>
    <row r="12" spans="1:32" x14ac:dyDescent="0.25">
      <c r="A12" s="44">
        <v>8</v>
      </c>
      <c r="B12" s="56">
        <v>42937</v>
      </c>
      <c r="C12" s="44" t="s">
        <v>134</v>
      </c>
      <c r="D12" s="46">
        <f t="shared" si="0"/>
        <v>128062000</v>
      </c>
      <c r="E12" s="47">
        <v>500</v>
      </c>
      <c r="F12" s="47">
        <f t="shared" si="1"/>
        <v>67500000</v>
      </c>
      <c r="G12" s="47">
        <v>32</v>
      </c>
      <c r="H12" s="47">
        <f t="shared" si="2"/>
        <v>4064000</v>
      </c>
      <c r="I12" s="47">
        <v>61</v>
      </c>
      <c r="J12" s="47">
        <f t="shared" si="3"/>
        <v>8235000</v>
      </c>
      <c r="K12" s="47">
        <v>92</v>
      </c>
      <c r="L12" s="47">
        <f t="shared" si="4"/>
        <v>12880000</v>
      </c>
      <c r="M12" s="47">
        <v>25</v>
      </c>
      <c r="N12" s="47">
        <f t="shared" si="5"/>
        <v>3625000</v>
      </c>
      <c r="O12" s="47">
        <v>17</v>
      </c>
      <c r="P12" s="47">
        <f t="shared" si="6"/>
        <v>2550000</v>
      </c>
      <c r="Q12" s="47"/>
      <c r="R12" s="47">
        <f t="shared" si="7"/>
        <v>0</v>
      </c>
      <c r="S12" s="47">
        <v>3</v>
      </c>
      <c r="T12" s="47">
        <f t="shared" si="8"/>
        <v>405000</v>
      </c>
      <c r="U12" s="51">
        <v>56</v>
      </c>
      <c r="V12" s="51">
        <f t="shared" si="9"/>
        <v>7728000</v>
      </c>
      <c r="W12" s="51">
        <v>126</v>
      </c>
      <c r="X12" s="51">
        <f t="shared" si="10"/>
        <v>18270000</v>
      </c>
      <c r="Y12" s="51">
        <v>17</v>
      </c>
      <c r="Z12" s="51">
        <f t="shared" si="11"/>
        <v>2805000</v>
      </c>
      <c r="AA12" s="57">
        <f>SUM(E12:E18)</f>
        <v>2253</v>
      </c>
      <c r="AB12" s="57">
        <f>SUM(Q12:Q18)</f>
        <v>22</v>
      </c>
    </row>
    <row r="13" spans="1:32" x14ac:dyDescent="0.25">
      <c r="A13" s="44">
        <v>9</v>
      </c>
      <c r="B13" s="56">
        <v>42940</v>
      </c>
      <c r="C13" s="44" t="s">
        <v>135</v>
      </c>
      <c r="D13" s="46">
        <f t="shared" si="0"/>
        <v>110654000</v>
      </c>
      <c r="E13" s="47">
        <v>420</v>
      </c>
      <c r="F13" s="47">
        <f t="shared" si="1"/>
        <v>56700000</v>
      </c>
      <c r="G13" s="47">
        <v>35</v>
      </c>
      <c r="H13" s="47">
        <f t="shared" si="2"/>
        <v>4445000</v>
      </c>
      <c r="I13" s="47">
        <v>15</v>
      </c>
      <c r="J13" s="47">
        <f t="shared" si="3"/>
        <v>2025000</v>
      </c>
      <c r="K13" s="47">
        <v>89</v>
      </c>
      <c r="L13" s="47">
        <f t="shared" si="4"/>
        <v>12460000</v>
      </c>
      <c r="M13" s="47">
        <v>30</v>
      </c>
      <c r="N13" s="47">
        <f t="shared" si="5"/>
        <v>4350000</v>
      </c>
      <c r="O13" s="47">
        <v>10</v>
      </c>
      <c r="P13" s="47">
        <f t="shared" si="6"/>
        <v>1500000</v>
      </c>
      <c r="Q13" s="47">
        <v>0</v>
      </c>
      <c r="R13" s="47">
        <f t="shared" si="7"/>
        <v>0</v>
      </c>
      <c r="S13" s="47">
        <v>2</v>
      </c>
      <c r="T13" s="47">
        <f t="shared" si="8"/>
        <v>270000</v>
      </c>
      <c r="U13" s="52">
        <v>48</v>
      </c>
      <c r="V13" s="51">
        <f t="shared" si="9"/>
        <v>6624000</v>
      </c>
      <c r="W13" s="51">
        <v>140</v>
      </c>
      <c r="X13" s="51">
        <f t="shared" si="10"/>
        <v>20300000</v>
      </c>
      <c r="Y13" s="51">
        <v>12</v>
      </c>
      <c r="Z13" s="51">
        <f t="shared" si="11"/>
        <v>1980000</v>
      </c>
      <c r="AA13" s="57">
        <f>SUM(G12:G18)</f>
        <v>248</v>
      </c>
      <c r="AB13" s="57">
        <f>SUM(S12:S18)</f>
        <v>12</v>
      </c>
    </row>
    <row r="14" spans="1:32" x14ac:dyDescent="0.25">
      <c r="A14" s="44">
        <v>10</v>
      </c>
      <c r="B14" s="56">
        <v>42941</v>
      </c>
      <c r="C14" s="44" t="s">
        <v>136</v>
      </c>
      <c r="D14" s="46">
        <f t="shared" si="0"/>
        <v>54437000</v>
      </c>
      <c r="E14" s="47">
        <v>227</v>
      </c>
      <c r="F14" s="47">
        <f t="shared" si="1"/>
        <v>30645000</v>
      </c>
      <c r="G14" s="47">
        <v>28</v>
      </c>
      <c r="H14" s="47">
        <f t="shared" si="2"/>
        <v>3556000</v>
      </c>
      <c r="I14" s="47">
        <v>0</v>
      </c>
      <c r="J14" s="47">
        <f t="shared" si="3"/>
        <v>0</v>
      </c>
      <c r="K14" s="47">
        <v>4</v>
      </c>
      <c r="L14" s="47">
        <f t="shared" si="4"/>
        <v>560000</v>
      </c>
      <c r="M14" s="47">
        <v>26</v>
      </c>
      <c r="N14" s="47">
        <f t="shared" si="5"/>
        <v>3770000</v>
      </c>
      <c r="O14" s="47">
        <v>7</v>
      </c>
      <c r="P14" s="47">
        <f t="shared" si="6"/>
        <v>1050000</v>
      </c>
      <c r="Q14" s="47">
        <v>2</v>
      </c>
      <c r="R14" s="47">
        <f t="shared" si="7"/>
        <v>260000</v>
      </c>
      <c r="S14" s="47">
        <v>0</v>
      </c>
      <c r="T14" s="47">
        <f t="shared" si="8"/>
        <v>0</v>
      </c>
      <c r="U14" s="52">
        <v>32</v>
      </c>
      <c r="V14" s="51">
        <f t="shared" si="9"/>
        <v>4416000</v>
      </c>
      <c r="W14" s="51">
        <v>52</v>
      </c>
      <c r="X14" s="51">
        <f t="shared" si="10"/>
        <v>7540000</v>
      </c>
      <c r="Y14" s="51">
        <v>16</v>
      </c>
      <c r="Z14" s="51">
        <f t="shared" si="11"/>
        <v>2640000</v>
      </c>
      <c r="AA14" s="57">
        <f>SUM(I12:I18)</f>
        <v>146</v>
      </c>
      <c r="AB14" s="57">
        <f>SUM(U12:U18)</f>
        <v>313</v>
      </c>
    </row>
    <row r="15" spans="1:32" x14ac:dyDescent="0.25">
      <c r="A15" s="44">
        <v>11</v>
      </c>
      <c r="B15" s="56">
        <v>42943</v>
      </c>
      <c r="C15" s="44" t="s">
        <v>137</v>
      </c>
      <c r="D15" s="46">
        <f t="shared" si="0"/>
        <v>77903000</v>
      </c>
      <c r="E15" s="47">
        <v>331</v>
      </c>
      <c r="F15" s="47">
        <f t="shared" si="1"/>
        <v>44685000</v>
      </c>
      <c r="G15" s="47">
        <v>40</v>
      </c>
      <c r="H15" s="47">
        <f t="shared" si="2"/>
        <v>5080000</v>
      </c>
      <c r="I15" s="47">
        <v>1</v>
      </c>
      <c r="J15" s="47">
        <f t="shared" si="3"/>
        <v>135000</v>
      </c>
      <c r="K15" s="47">
        <v>40</v>
      </c>
      <c r="L15" s="47">
        <f t="shared" si="4"/>
        <v>5600000</v>
      </c>
      <c r="M15" s="47">
        <v>0</v>
      </c>
      <c r="N15" s="47">
        <f t="shared" si="5"/>
        <v>0</v>
      </c>
      <c r="O15" s="47">
        <v>18</v>
      </c>
      <c r="P15" s="47">
        <f t="shared" si="6"/>
        <v>2700000</v>
      </c>
      <c r="Q15" s="47">
        <v>5</v>
      </c>
      <c r="R15" s="47">
        <f t="shared" si="7"/>
        <v>650000</v>
      </c>
      <c r="S15" s="47">
        <v>2</v>
      </c>
      <c r="T15" s="47">
        <f t="shared" si="8"/>
        <v>270000</v>
      </c>
      <c r="U15" s="52">
        <v>51</v>
      </c>
      <c r="V15" s="51">
        <f t="shared" si="9"/>
        <v>7038000</v>
      </c>
      <c r="W15" s="51">
        <v>81</v>
      </c>
      <c r="X15" s="51">
        <f t="shared" si="10"/>
        <v>11745000</v>
      </c>
      <c r="Y15" s="51">
        <v>0</v>
      </c>
      <c r="Z15" s="51">
        <f t="shared" si="11"/>
        <v>0</v>
      </c>
      <c r="AA15" s="57">
        <f>SUM(K12:K18)</f>
        <v>367</v>
      </c>
      <c r="AB15" s="57">
        <f>SUM(W12:W18)</f>
        <v>595</v>
      </c>
    </row>
    <row r="16" spans="1:32" x14ac:dyDescent="0.25">
      <c r="A16" s="44">
        <v>12</v>
      </c>
      <c r="B16" s="56">
        <v>42947</v>
      </c>
      <c r="C16" s="44" t="s">
        <v>138</v>
      </c>
      <c r="D16" s="46">
        <f t="shared" si="0"/>
        <v>102754000</v>
      </c>
      <c r="E16" s="47">
        <v>399</v>
      </c>
      <c r="F16" s="47">
        <f t="shared" si="1"/>
        <v>53865000</v>
      </c>
      <c r="G16" s="47">
        <v>36</v>
      </c>
      <c r="H16" s="47">
        <f t="shared" si="2"/>
        <v>4572000</v>
      </c>
      <c r="I16" s="47">
        <v>69</v>
      </c>
      <c r="J16" s="47">
        <f t="shared" si="3"/>
        <v>9315000</v>
      </c>
      <c r="K16" s="47">
        <v>71</v>
      </c>
      <c r="L16" s="47">
        <f t="shared" si="4"/>
        <v>9940000</v>
      </c>
      <c r="M16" s="47">
        <v>25</v>
      </c>
      <c r="N16" s="47">
        <f t="shared" si="5"/>
        <v>3625000</v>
      </c>
      <c r="O16" s="47">
        <v>26</v>
      </c>
      <c r="P16" s="47">
        <f t="shared" si="6"/>
        <v>3900000</v>
      </c>
      <c r="Q16" s="47">
        <v>7</v>
      </c>
      <c r="R16" s="47">
        <f t="shared" si="7"/>
        <v>910000</v>
      </c>
      <c r="S16" s="47">
        <v>1</v>
      </c>
      <c r="T16" s="47">
        <f t="shared" si="8"/>
        <v>135000</v>
      </c>
      <c r="U16" s="52">
        <v>34</v>
      </c>
      <c r="V16" s="51">
        <f t="shared" si="9"/>
        <v>4692000</v>
      </c>
      <c r="W16" s="51">
        <v>70</v>
      </c>
      <c r="X16" s="51">
        <f t="shared" si="10"/>
        <v>10150000</v>
      </c>
      <c r="Y16" s="51">
        <v>10</v>
      </c>
      <c r="Z16" s="51">
        <f t="shared" si="11"/>
        <v>1650000</v>
      </c>
      <c r="AA16" s="57">
        <f>SUM(M12:M18)</f>
        <v>149</v>
      </c>
      <c r="AB16" s="57">
        <f>SUM(Y12:Y18)</f>
        <v>77</v>
      </c>
      <c r="AC16" s="87">
        <f>SUM(AB14:AB16)</f>
        <v>985</v>
      </c>
    </row>
    <row r="17" spans="1:32" x14ac:dyDescent="0.25">
      <c r="A17" s="44">
        <v>13</v>
      </c>
      <c r="B17" s="45" t="s">
        <v>139</v>
      </c>
      <c r="C17" s="44" t="s">
        <v>140</v>
      </c>
      <c r="D17" s="46">
        <f t="shared" si="0"/>
        <v>73402000</v>
      </c>
      <c r="E17" s="47">
        <v>213</v>
      </c>
      <c r="F17" s="47">
        <f t="shared" si="1"/>
        <v>28755000</v>
      </c>
      <c r="G17" s="47">
        <v>52</v>
      </c>
      <c r="H17" s="47">
        <f t="shared" si="2"/>
        <v>6604000</v>
      </c>
      <c r="I17" s="47">
        <v>0</v>
      </c>
      <c r="J17" s="47">
        <f t="shared" si="3"/>
        <v>0</v>
      </c>
      <c r="K17" s="47">
        <v>52</v>
      </c>
      <c r="L17" s="47">
        <f t="shared" si="4"/>
        <v>7280000</v>
      </c>
      <c r="M17" s="47">
        <v>32</v>
      </c>
      <c r="N17" s="47">
        <f t="shared" si="5"/>
        <v>4640000</v>
      </c>
      <c r="O17" s="47">
        <v>13</v>
      </c>
      <c r="P17" s="47">
        <f t="shared" si="6"/>
        <v>1950000</v>
      </c>
      <c r="Q17" s="47">
        <v>5</v>
      </c>
      <c r="R17" s="47">
        <f t="shared" si="7"/>
        <v>650000</v>
      </c>
      <c r="S17" s="47">
        <v>3</v>
      </c>
      <c r="T17" s="47">
        <f t="shared" si="8"/>
        <v>405000</v>
      </c>
      <c r="U17" s="52">
        <v>51</v>
      </c>
      <c r="V17" s="51">
        <f t="shared" si="9"/>
        <v>7038000</v>
      </c>
      <c r="W17" s="51">
        <v>87</v>
      </c>
      <c r="X17" s="51">
        <f t="shared" si="10"/>
        <v>12615000</v>
      </c>
      <c r="Y17" s="51">
        <v>21</v>
      </c>
      <c r="Z17" s="51">
        <f t="shared" si="11"/>
        <v>3465000</v>
      </c>
      <c r="AA17" s="57">
        <f>SUM(O12:O18)</f>
        <v>97</v>
      </c>
    </row>
    <row r="18" spans="1:32" x14ac:dyDescent="0.25">
      <c r="A18" s="65">
        <v>14</v>
      </c>
      <c r="B18" s="70" t="s">
        <v>141</v>
      </c>
      <c r="C18" s="65" t="s">
        <v>142</v>
      </c>
      <c r="D18" s="67">
        <f t="shared" si="0"/>
        <v>42338000</v>
      </c>
      <c r="E18" s="68">
        <v>163</v>
      </c>
      <c r="F18" s="68">
        <f t="shared" si="1"/>
        <v>22005000</v>
      </c>
      <c r="G18" s="68">
        <v>25</v>
      </c>
      <c r="H18" s="68">
        <f t="shared" si="2"/>
        <v>3175000</v>
      </c>
      <c r="I18" s="68"/>
      <c r="J18" s="68">
        <f t="shared" si="3"/>
        <v>0</v>
      </c>
      <c r="K18" s="68">
        <v>19</v>
      </c>
      <c r="L18" s="68">
        <f t="shared" si="4"/>
        <v>2660000</v>
      </c>
      <c r="M18" s="68">
        <v>11</v>
      </c>
      <c r="N18" s="68">
        <f t="shared" si="5"/>
        <v>1595000</v>
      </c>
      <c r="O18" s="68">
        <v>6</v>
      </c>
      <c r="P18" s="68">
        <f t="shared" si="6"/>
        <v>900000</v>
      </c>
      <c r="Q18" s="68">
        <v>3</v>
      </c>
      <c r="R18" s="68">
        <f t="shared" si="7"/>
        <v>390000</v>
      </c>
      <c r="S18" s="68">
        <v>1</v>
      </c>
      <c r="T18" s="68">
        <f t="shared" si="8"/>
        <v>135000</v>
      </c>
      <c r="U18" s="71">
        <v>41</v>
      </c>
      <c r="V18" s="69">
        <f t="shared" si="9"/>
        <v>5658000</v>
      </c>
      <c r="W18" s="69">
        <v>39</v>
      </c>
      <c r="X18" s="69">
        <f t="shared" si="10"/>
        <v>5655000</v>
      </c>
      <c r="Y18" s="69">
        <v>1</v>
      </c>
      <c r="Z18" s="69">
        <f t="shared" si="11"/>
        <v>165000</v>
      </c>
      <c r="AA18" s="85">
        <f>SUM(AA12:AA17)+SUM(AB12:AB16)</f>
        <v>4279</v>
      </c>
      <c r="AB18" s="72">
        <f>AA12+AA13+AA14+AA15+AA16+AA17+AB12+AB13+AB14+AB15+AB16</f>
        <v>4279</v>
      </c>
    </row>
    <row r="19" spans="1:32" x14ac:dyDescent="0.25">
      <c r="A19" s="44">
        <v>15</v>
      </c>
      <c r="B19" s="56">
        <v>42955</v>
      </c>
      <c r="C19" s="44" t="s">
        <v>145</v>
      </c>
      <c r="D19" s="46">
        <f t="shared" si="0"/>
        <v>65625000</v>
      </c>
      <c r="E19" s="47">
        <v>212</v>
      </c>
      <c r="F19" s="47">
        <f t="shared" si="1"/>
        <v>28620000</v>
      </c>
      <c r="G19" s="47">
        <v>50</v>
      </c>
      <c r="H19" s="47">
        <f t="shared" si="2"/>
        <v>6350000</v>
      </c>
      <c r="I19" s="47">
        <v>0</v>
      </c>
      <c r="J19" s="47">
        <f t="shared" si="3"/>
        <v>0</v>
      </c>
      <c r="K19" s="47">
        <v>66</v>
      </c>
      <c r="L19" s="47">
        <f t="shared" si="4"/>
        <v>9240000</v>
      </c>
      <c r="M19" s="47">
        <v>37</v>
      </c>
      <c r="N19" s="47">
        <f t="shared" si="5"/>
        <v>5365000</v>
      </c>
      <c r="O19" s="47">
        <v>20</v>
      </c>
      <c r="P19" s="47">
        <f t="shared" si="6"/>
        <v>3000000</v>
      </c>
      <c r="Q19" s="47">
        <v>4</v>
      </c>
      <c r="R19" s="47">
        <f t="shared" si="7"/>
        <v>520000</v>
      </c>
      <c r="S19" s="47">
        <v>2</v>
      </c>
      <c r="T19" s="47">
        <f t="shared" si="8"/>
        <v>270000</v>
      </c>
      <c r="U19" s="52">
        <v>0</v>
      </c>
      <c r="V19" s="51">
        <f t="shared" si="9"/>
        <v>0</v>
      </c>
      <c r="W19" s="51">
        <v>80</v>
      </c>
      <c r="X19" s="51">
        <f t="shared" si="10"/>
        <v>11600000</v>
      </c>
      <c r="Y19" s="51">
        <v>4</v>
      </c>
      <c r="Z19" s="51">
        <f t="shared" si="11"/>
        <v>660000</v>
      </c>
      <c r="AA19" s="57">
        <f>SUM(E19:E24)</f>
        <v>1669</v>
      </c>
      <c r="AB19" s="57">
        <f>SUM(O19:O24)</f>
        <v>107</v>
      </c>
      <c r="AC19" s="57">
        <f>SUM(Y19:Y24)</f>
        <v>103</v>
      </c>
    </row>
    <row r="20" spans="1:32" x14ac:dyDescent="0.25">
      <c r="A20" s="44">
        <v>16</v>
      </c>
      <c r="B20" s="45" t="s">
        <v>146</v>
      </c>
      <c r="C20" s="44" t="s">
        <v>166</v>
      </c>
      <c r="D20" s="46">
        <f t="shared" si="0"/>
        <v>61956000</v>
      </c>
      <c r="E20" s="47">
        <v>246</v>
      </c>
      <c r="F20" s="47">
        <f t="shared" si="1"/>
        <v>33210000</v>
      </c>
      <c r="G20" s="47">
        <v>38</v>
      </c>
      <c r="H20" s="47">
        <f t="shared" si="2"/>
        <v>4826000</v>
      </c>
      <c r="I20" s="47">
        <v>0</v>
      </c>
      <c r="J20" s="47">
        <f t="shared" si="3"/>
        <v>0</v>
      </c>
      <c r="K20" s="47">
        <v>75</v>
      </c>
      <c r="L20" s="47">
        <f t="shared" si="4"/>
        <v>10500000</v>
      </c>
      <c r="M20" s="47">
        <v>27</v>
      </c>
      <c r="N20" s="47">
        <f t="shared" si="5"/>
        <v>3915000</v>
      </c>
      <c r="O20" s="47">
        <v>15</v>
      </c>
      <c r="P20" s="47">
        <f t="shared" si="6"/>
        <v>2250000</v>
      </c>
      <c r="Q20" s="47">
        <v>6</v>
      </c>
      <c r="R20" s="47">
        <f t="shared" si="7"/>
        <v>780000</v>
      </c>
      <c r="S20" s="47">
        <v>5</v>
      </c>
      <c r="T20" s="47">
        <f t="shared" si="8"/>
        <v>675000</v>
      </c>
      <c r="U20" s="52">
        <v>0</v>
      </c>
      <c r="V20" s="51">
        <f t="shared" si="9"/>
        <v>0</v>
      </c>
      <c r="W20" s="51">
        <v>40</v>
      </c>
      <c r="X20" s="51">
        <f t="shared" si="10"/>
        <v>5800000</v>
      </c>
      <c r="Y20" s="51">
        <v>0</v>
      </c>
      <c r="Z20" s="51">
        <f t="shared" si="11"/>
        <v>0</v>
      </c>
      <c r="AA20" s="57">
        <f>SUM(G19:G24)</f>
        <v>234</v>
      </c>
      <c r="AB20" s="57">
        <f>SUM(Q19:Q24)</f>
        <v>47</v>
      </c>
      <c r="AC20" s="87">
        <f>AB22+AB23+AC19</f>
        <v>855</v>
      </c>
      <c r="AE20" s="57">
        <f>AA18+AA24+AA30</f>
        <v>10664</v>
      </c>
    </row>
    <row r="21" spans="1:32" x14ac:dyDescent="0.25">
      <c r="A21" s="44">
        <v>17</v>
      </c>
      <c r="B21" s="56">
        <v>42962</v>
      </c>
      <c r="C21" s="44" t="s">
        <v>167</v>
      </c>
      <c r="D21" s="46">
        <f t="shared" si="0"/>
        <v>59320000</v>
      </c>
      <c r="E21" s="47">
        <v>245</v>
      </c>
      <c r="F21" s="47">
        <f t="shared" si="1"/>
        <v>33075000</v>
      </c>
      <c r="G21" s="47">
        <v>32</v>
      </c>
      <c r="H21" s="47">
        <f t="shared" si="2"/>
        <v>4064000</v>
      </c>
      <c r="I21" s="47">
        <v>0</v>
      </c>
      <c r="J21" s="47">
        <f t="shared" si="3"/>
        <v>0</v>
      </c>
      <c r="K21" s="47">
        <v>25</v>
      </c>
      <c r="L21" s="47">
        <f t="shared" si="4"/>
        <v>3500000</v>
      </c>
      <c r="M21" s="47">
        <v>48</v>
      </c>
      <c r="N21" s="47">
        <f t="shared" si="5"/>
        <v>6960000</v>
      </c>
      <c r="O21" s="47">
        <v>6</v>
      </c>
      <c r="P21" s="47">
        <f t="shared" si="6"/>
        <v>900000</v>
      </c>
      <c r="Q21" s="47">
        <v>2</v>
      </c>
      <c r="R21" s="47">
        <f t="shared" si="7"/>
        <v>260000</v>
      </c>
      <c r="S21" s="47">
        <v>2</v>
      </c>
      <c r="T21" s="47">
        <f t="shared" si="8"/>
        <v>270000</v>
      </c>
      <c r="U21" s="52">
        <v>12</v>
      </c>
      <c r="V21" s="51">
        <f t="shared" si="9"/>
        <v>1656000</v>
      </c>
      <c r="W21" s="51">
        <v>55</v>
      </c>
      <c r="X21" s="51">
        <f t="shared" si="10"/>
        <v>7975000</v>
      </c>
      <c r="Y21" s="51">
        <v>4</v>
      </c>
      <c r="Z21" s="51">
        <f t="shared" si="11"/>
        <v>660000</v>
      </c>
      <c r="AA21" s="57">
        <f>SUM(I19:I24)</f>
        <v>67</v>
      </c>
      <c r="AB21" s="57">
        <f>SUM(S19:S24)</f>
        <v>28</v>
      </c>
    </row>
    <row r="22" spans="1:32" x14ac:dyDescent="0.25">
      <c r="A22" s="44">
        <v>18</v>
      </c>
      <c r="B22" s="56">
        <v>42968</v>
      </c>
      <c r="C22" s="44" t="s">
        <v>168</v>
      </c>
      <c r="D22" s="46">
        <f t="shared" si="0"/>
        <v>167781000</v>
      </c>
      <c r="E22" s="47">
        <v>738</v>
      </c>
      <c r="F22" s="47">
        <f t="shared" si="1"/>
        <v>99630000</v>
      </c>
      <c r="G22" s="47">
        <v>70</v>
      </c>
      <c r="H22" s="47">
        <f t="shared" si="2"/>
        <v>8890000</v>
      </c>
      <c r="I22" s="47">
        <v>0</v>
      </c>
      <c r="J22" s="47">
        <f t="shared" si="3"/>
        <v>0</v>
      </c>
      <c r="K22" s="47">
        <v>0</v>
      </c>
      <c r="L22" s="47">
        <f t="shared" si="4"/>
        <v>0</v>
      </c>
      <c r="M22" s="47">
        <v>9</v>
      </c>
      <c r="N22" s="47">
        <f t="shared" si="5"/>
        <v>1305000</v>
      </c>
      <c r="O22" s="47">
        <v>31</v>
      </c>
      <c r="P22" s="47">
        <f t="shared" si="6"/>
        <v>4650000</v>
      </c>
      <c r="Q22" s="47">
        <v>19</v>
      </c>
      <c r="R22" s="47">
        <f t="shared" si="7"/>
        <v>2470000</v>
      </c>
      <c r="S22" s="47">
        <v>2</v>
      </c>
      <c r="T22" s="47">
        <f t="shared" si="8"/>
        <v>270000</v>
      </c>
      <c r="U22" s="51">
        <v>107</v>
      </c>
      <c r="V22" s="51">
        <f t="shared" si="9"/>
        <v>14766000</v>
      </c>
      <c r="W22" s="51">
        <v>190</v>
      </c>
      <c r="X22" s="51">
        <f t="shared" si="10"/>
        <v>27550000</v>
      </c>
      <c r="Y22" s="51">
        <v>50</v>
      </c>
      <c r="Z22" s="51">
        <f t="shared" si="11"/>
        <v>8250000</v>
      </c>
      <c r="AA22" s="57">
        <f>SUM(K19:K24)</f>
        <v>224</v>
      </c>
      <c r="AB22" s="42">
        <f>SUM(U19:U24)</f>
        <v>253</v>
      </c>
    </row>
    <row r="23" spans="1:32" x14ac:dyDescent="0.25">
      <c r="A23" s="44">
        <v>19</v>
      </c>
      <c r="B23" s="56">
        <v>42975</v>
      </c>
      <c r="C23" s="44" t="s">
        <v>169</v>
      </c>
      <c r="D23" s="46">
        <f t="shared" si="0"/>
        <v>54109000</v>
      </c>
      <c r="E23" s="47">
        <v>57</v>
      </c>
      <c r="F23" s="47">
        <f t="shared" si="1"/>
        <v>7695000</v>
      </c>
      <c r="G23" s="47">
        <v>23</v>
      </c>
      <c r="H23" s="47">
        <f t="shared" si="2"/>
        <v>2921000</v>
      </c>
      <c r="I23" s="47">
        <v>50</v>
      </c>
      <c r="J23" s="47">
        <f t="shared" si="3"/>
        <v>6750000</v>
      </c>
      <c r="K23" s="47">
        <v>10</v>
      </c>
      <c r="L23" s="47">
        <f t="shared" si="4"/>
        <v>1400000</v>
      </c>
      <c r="M23" s="47">
        <v>9</v>
      </c>
      <c r="N23" s="47">
        <f t="shared" si="5"/>
        <v>1305000</v>
      </c>
      <c r="O23" s="47">
        <v>22</v>
      </c>
      <c r="P23" s="47">
        <f t="shared" si="6"/>
        <v>3300000</v>
      </c>
      <c r="Q23" s="47">
        <v>9</v>
      </c>
      <c r="R23" s="47">
        <f t="shared" si="7"/>
        <v>1170000</v>
      </c>
      <c r="S23" s="47">
        <v>16</v>
      </c>
      <c r="T23" s="47">
        <f t="shared" si="8"/>
        <v>2160000</v>
      </c>
      <c r="U23" s="51">
        <v>86</v>
      </c>
      <c r="V23" s="51">
        <f t="shared" si="9"/>
        <v>11868000</v>
      </c>
      <c r="W23" s="51">
        <v>81</v>
      </c>
      <c r="X23" s="51">
        <f t="shared" si="10"/>
        <v>11745000</v>
      </c>
      <c r="Y23" s="51">
        <v>23</v>
      </c>
      <c r="Z23" s="51">
        <f t="shared" si="11"/>
        <v>3795000</v>
      </c>
      <c r="AA23" s="57">
        <f>SUM(M19:M24)</f>
        <v>196</v>
      </c>
      <c r="AB23" s="57">
        <f>SUM(W19:W24)</f>
        <v>499</v>
      </c>
    </row>
    <row r="24" spans="1:32" s="79" customFormat="1" x14ac:dyDescent="0.25">
      <c r="A24" s="65">
        <v>20</v>
      </c>
      <c r="B24" s="70" t="s">
        <v>170</v>
      </c>
      <c r="C24" s="65" t="s">
        <v>171</v>
      </c>
      <c r="D24" s="67">
        <f t="shared" si="0"/>
        <v>65271000</v>
      </c>
      <c r="E24" s="68">
        <v>171</v>
      </c>
      <c r="F24" s="68">
        <f t="shared" si="1"/>
        <v>23085000</v>
      </c>
      <c r="G24" s="68">
        <v>21</v>
      </c>
      <c r="H24" s="68">
        <f t="shared" si="2"/>
        <v>2667000</v>
      </c>
      <c r="I24" s="68">
        <v>17</v>
      </c>
      <c r="J24" s="68">
        <f t="shared" si="3"/>
        <v>2295000</v>
      </c>
      <c r="K24" s="68">
        <v>48</v>
      </c>
      <c r="L24" s="68">
        <f t="shared" si="4"/>
        <v>6720000</v>
      </c>
      <c r="M24" s="68">
        <v>66</v>
      </c>
      <c r="N24" s="68">
        <f t="shared" si="5"/>
        <v>9570000</v>
      </c>
      <c r="O24" s="68">
        <v>13</v>
      </c>
      <c r="P24" s="68">
        <f t="shared" si="6"/>
        <v>1950000</v>
      </c>
      <c r="Q24" s="68">
        <v>7</v>
      </c>
      <c r="R24" s="68">
        <f t="shared" si="7"/>
        <v>910000</v>
      </c>
      <c r="S24" s="68">
        <v>1</v>
      </c>
      <c r="T24" s="68">
        <f t="shared" si="8"/>
        <v>135000</v>
      </c>
      <c r="U24" s="69">
        <v>48</v>
      </c>
      <c r="V24" s="69">
        <f t="shared" si="9"/>
        <v>6624000</v>
      </c>
      <c r="W24" s="69">
        <v>53</v>
      </c>
      <c r="X24" s="69">
        <f t="shared" si="10"/>
        <v>7685000</v>
      </c>
      <c r="Y24" s="69">
        <v>22</v>
      </c>
      <c r="Z24" s="69">
        <f t="shared" si="11"/>
        <v>3630000</v>
      </c>
      <c r="AA24" s="85">
        <f>AA19+AA20+AA21+AA22+AA23+AB19+AB20+AB21+AB22+AB23+AC19</f>
        <v>3427</v>
      </c>
    </row>
    <row r="25" spans="1:32" x14ac:dyDescent="0.25">
      <c r="A25" s="44">
        <v>21</v>
      </c>
      <c r="B25" s="45" t="s">
        <v>174</v>
      </c>
      <c r="C25" s="44" t="s">
        <v>175</v>
      </c>
      <c r="D25" s="46">
        <f t="shared" si="0"/>
        <v>87168000</v>
      </c>
      <c r="E25" s="47">
        <v>227</v>
      </c>
      <c r="F25" s="47">
        <f t="shared" si="1"/>
        <v>30645000</v>
      </c>
      <c r="G25" s="47">
        <v>4</v>
      </c>
      <c r="H25" s="47">
        <f t="shared" si="2"/>
        <v>508000</v>
      </c>
      <c r="I25" s="47">
        <v>52</v>
      </c>
      <c r="J25" s="47">
        <f t="shared" si="3"/>
        <v>7020000</v>
      </c>
      <c r="K25" s="47">
        <v>60</v>
      </c>
      <c r="L25" s="47">
        <f t="shared" si="4"/>
        <v>8400000</v>
      </c>
      <c r="M25" s="47">
        <v>74</v>
      </c>
      <c r="N25" s="47">
        <f t="shared" si="5"/>
        <v>10730000</v>
      </c>
      <c r="O25" s="47">
        <v>14</v>
      </c>
      <c r="P25" s="47">
        <f t="shared" si="6"/>
        <v>2100000</v>
      </c>
      <c r="Q25" s="47">
        <v>7</v>
      </c>
      <c r="R25" s="47">
        <f t="shared" si="7"/>
        <v>910000</v>
      </c>
      <c r="S25" s="47">
        <v>2</v>
      </c>
      <c r="T25" s="47">
        <f t="shared" si="8"/>
        <v>270000</v>
      </c>
      <c r="U25" s="51">
        <v>70</v>
      </c>
      <c r="V25" s="51">
        <f t="shared" si="9"/>
        <v>9660000</v>
      </c>
      <c r="W25" s="51">
        <v>86</v>
      </c>
      <c r="X25" s="51">
        <f t="shared" si="10"/>
        <v>12470000</v>
      </c>
      <c r="Y25" s="51">
        <v>27</v>
      </c>
      <c r="Z25" s="51">
        <f t="shared" si="11"/>
        <v>4455000</v>
      </c>
      <c r="AA25" s="57">
        <f>SUM(E25:E30)</f>
        <v>738</v>
      </c>
      <c r="AB25" s="57">
        <f>SUM(O25:O30)</f>
        <v>75</v>
      </c>
      <c r="AC25" s="57">
        <f>SUM(Y25:Y30)</f>
        <v>78</v>
      </c>
      <c r="AD25" s="57"/>
    </row>
    <row r="26" spans="1:32" x14ac:dyDescent="0.25">
      <c r="A26" s="44">
        <v>22</v>
      </c>
      <c r="B26" s="56">
        <v>42992</v>
      </c>
      <c r="C26" s="44" t="s">
        <v>176</v>
      </c>
      <c r="D26" s="46">
        <f t="shared" si="0"/>
        <v>77271000</v>
      </c>
      <c r="E26" s="47">
        <v>185</v>
      </c>
      <c r="F26" s="47">
        <f t="shared" si="1"/>
        <v>24975000</v>
      </c>
      <c r="G26" s="47">
        <v>24</v>
      </c>
      <c r="H26" s="47">
        <f t="shared" si="2"/>
        <v>3048000</v>
      </c>
      <c r="I26" s="47">
        <v>28</v>
      </c>
      <c r="J26" s="47">
        <f t="shared" si="3"/>
        <v>3780000</v>
      </c>
      <c r="K26" s="47">
        <v>13</v>
      </c>
      <c r="L26" s="47">
        <f t="shared" si="4"/>
        <v>1820000</v>
      </c>
      <c r="M26" s="47">
        <v>85</v>
      </c>
      <c r="N26" s="47">
        <f t="shared" si="5"/>
        <v>12325000</v>
      </c>
      <c r="O26" s="47">
        <v>16</v>
      </c>
      <c r="P26" s="47">
        <f t="shared" si="6"/>
        <v>2400000</v>
      </c>
      <c r="Q26" s="47">
        <v>13</v>
      </c>
      <c r="R26" s="47">
        <f t="shared" si="7"/>
        <v>1690000</v>
      </c>
      <c r="S26" s="47">
        <v>6</v>
      </c>
      <c r="T26" s="47">
        <f t="shared" si="8"/>
        <v>810000</v>
      </c>
      <c r="U26" s="51">
        <v>76</v>
      </c>
      <c r="V26" s="51">
        <f t="shared" si="9"/>
        <v>10488000</v>
      </c>
      <c r="W26" s="51">
        <v>86</v>
      </c>
      <c r="X26" s="51">
        <f t="shared" si="10"/>
        <v>12470000</v>
      </c>
      <c r="Y26" s="51">
        <v>21</v>
      </c>
      <c r="Z26" s="51">
        <f t="shared" si="11"/>
        <v>3465000</v>
      </c>
      <c r="AA26" s="57">
        <f>SUM(G25:G30)</f>
        <v>86</v>
      </c>
      <c r="AB26" s="57">
        <f>SUM(Q25:Q30)</f>
        <v>51</v>
      </c>
      <c r="AC26" s="57"/>
      <c r="AD26" s="57"/>
    </row>
    <row r="27" spans="1:32" x14ac:dyDescent="0.25">
      <c r="A27" s="44">
        <v>23</v>
      </c>
      <c r="B27" s="45" t="s">
        <v>177</v>
      </c>
      <c r="C27" s="44" t="s">
        <v>178</v>
      </c>
      <c r="D27" s="46">
        <f t="shared" si="0"/>
        <v>80864000</v>
      </c>
      <c r="E27" s="47">
        <v>110</v>
      </c>
      <c r="F27" s="47">
        <f t="shared" si="1"/>
        <v>14850000</v>
      </c>
      <c r="G27" s="47">
        <v>37</v>
      </c>
      <c r="H27" s="47">
        <f t="shared" si="2"/>
        <v>4699000</v>
      </c>
      <c r="I27" s="47">
        <v>45</v>
      </c>
      <c r="J27" s="47">
        <f t="shared" si="3"/>
        <v>6075000</v>
      </c>
      <c r="K27" s="47">
        <v>94</v>
      </c>
      <c r="L27" s="47">
        <f t="shared" si="4"/>
        <v>13160000</v>
      </c>
      <c r="M27" s="47">
        <v>147</v>
      </c>
      <c r="N27" s="47">
        <f t="shared" si="5"/>
        <v>21315000</v>
      </c>
      <c r="O27" s="47">
        <v>18</v>
      </c>
      <c r="P27" s="47">
        <f t="shared" si="6"/>
        <v>2700000</v>
      </c>
      <c r="Q27" s="47">
        <v>10</v>
      </c>
      <c r="R27" s="47">
        <f t="shared" si="7"/>
        <v>1300000</v>
      </c>
      <c r="S27" s="47">
        <v>4</v>
      </c>
      <c r="T27" s="47">
        <f t="shared" si="8"/>
        <v>540000</v>
      </c>
      <c r="U27" s="51">
        <v>40</v>
      </c>
      <c r="V27" s="51">
        <f t="shared" si="9"/>
        <v>5520000</v>
      </c>
      <c r="W27" s="51">
        <v>67</v>
      </c>
      <c r="X27" s="51">
        <f t="shared" si="10"/>
        <v>9715000</v>
      </c>
      <c r="Y27" s="51">
        <v>6</v>
      </c>
      <c r="Z27" s="51">
        <f t="shared" si="11"/>
        <v>990000</v>
      </c>
      <c r="AA27" s="57">
        <f>SUM(I25:I30)</f>
        <v>228</v>
      </c>
      <c r="AB27" s="57">
        <f>SUM(S25:S30)</f>
        <v>17</v>
      </c>
      <c r="AC27" s="57"/>
      <c r="AD27" s="57"/>
    </row>
    <row r="28" spans="1:32" x14ac:dyDescent="0.25">
      <c r="A28" s="44">
        <v>24</v>
      </c>
      <c r="B28" s="56">
        <v>43008</v>
      </c>
      <c r="C28" s="44" t="s">
        <v>179</v>
      </c>
      <c r="D28" s="46">
        <f t="shared" si="0"/>
        <v>51990000</v>
      </c>
      <c r="E28" s="47">
        <v>91</v>
      </c>
      <c r="F28" s="47">
        <f t="shared" si="1"/>
        <v>12285000</v>
      </c>
      <c r="G28" s="47">
        <v>5</v>
      </c>
      <c r="H28" s="47">
        <f t="shared" si="2"/>
        <v>635000</v>
      </c>
      <c r="I28" s="47">
        <v>33</v>
      </c>
      <c r="J28" s="47">
        <f t="shared" si="3"/>
        <v>4455000</v>
      </c>
      <c r="K28" s="47">
        <v>53</v>
      </c>
      <c r="L28" s="47">
        <f t="shared" si="4"/>
        <v>7420000</v>
      </c>
      <c r="M28" s="47">
        <v>90</v>
      </c>
      <c r="N28" s="47">
        <f t="shared" si="5"/>
        <v>13050000</v>
      </c>
      <c r="O28" s="47">
        <v>13</v>
      </c>
      <c r="P28" s="47">
        <f t="shared" si="6"/>
        <v>1950000</v>
      </c>
      <c r="Q28" s="47">
        <v>4</v>
      </c>
      <c r="R28" s="47">
        <f t="shared" si="7"/>
        <v>520000</v>
      </c>
      <c r="S28" s="47">
        <v>0</v>
      </c>
      <c r="T28" s="47">
        <f t="shared" si="8"/>
        <v>0</v>
      </c>
      <c r="U28" s="51">
        <v>30</v>
      </c>
      <c r="V28" s="51">
        <f t="shared" si="9"/>
        <v>4140000</v>
      </c>
      <c r="W28" s="51">
        <v>44</v>
      </c>
      <c r="X28" s="51">
        <f t="shared" si="10"/>
        <v>6380000</v>
      </c>
      <c r="Y28" s="51">
        <v>7</v>
      </c>
      <c r="Z28" s="51">
        <f t="shared" si="11"/>
        <v>1155000</v>
      </c>
      <c r="AA28" s="57">
        <f>SUM(K25:K30)</f>
        <v>384</v>
      </c>
      <c r="AB28" s="57">
        <f>SUM(U25:U30)</f>
        <v>387</v>
      </c>
      <c r="AE28" s="57">
        <f>AC16+AC20+AC29</f>
        <v>2768</v>
      </c>
      <c r="AF28" s="57">
        <f>AE20-AE28</f>
        <v>7896</v>
      </c>
    </row>
    <row r="29" spans="1:32" x14ac:dyDescent="0.25">
      <c r="A29" s="44">
        <v>25</v>
      </c>
      <c r="B29" s="45" t="s">
        <v>180</v>
      </c>
      <c r="C29" s="44" t="s">
        <v>185</v>
      </c>
      <c r="D29" s="46">
        <f t="shared" si="0"/>
        <v>77755000</v>
      </c>
      <c r="E29" s="47">
        <v>75</v>
      </c>
      <c r="F29" s="47">
        <f t="shared" si="1"/>
        <v>10125000</v>
      </c>
      <c r="G29" s="47">
        <v>11</v>
      </c>
      <c r="H29" s="47">
        <f t="shared" si="2"/>
        <v>1397000</v>
      </c>
      <c r="I29" s="47">
        <v>70</v>
      </c>
      <c r="J29" s="47">
        <f t="shared" si="3"/>
        <v>9450000</v>
      </c>
      <c r="K29" s="47">
        <v>120</v>
      </c>
      <c r="L29" s="47">
        <f t="shared" si="4"/>
        <v>16800000</v>
      </c>
      <c r="M29" s="47">
        <v>55</v>
      </c>
      <c r="N29" s="47">
        <f t="shared" si="5"/>
        <v>7975000</v>
      </c>
      <c r="O29" s="47">
        <v>6</v>
      </c>
      <c r="P29" s="47">
        <f t="shared" si="6"/>
        <v>900000</v>
      </c>
      <c r="Q29" s="47">
        <v>10</v>
      </c>
      <c r="R29" s="47">
        <f t="shared" si="7"/>
        <v>1300000</v>
      </c>
      <c r="S29" s="47">
        <v>2</v>
      </c>
      <c r="T29" s="47">
        <f t="shared" si="8"/>
        <v>270000</v>
      </c>
      <c r="U29" s="51">
        <v>76</v>
      </c>
      <c r="V29" s="51">
        <f t="shared" si="9"/>
        <v>10488000</v>
      </c>
      <c r="W29" s="51">
        <v>120</v>
      </c>
      <c r="X29" s="51">
        <f t="shared" si="10"/>
        <v>17400000</v>
      </c>
      <c r="Y29" s="51">
        <v>10</v>
      </c>
      <c r="Z29" s="51">
        <f t="shared" si="11"/>
        <v>1650000</v>
      </c>
      <c r="AA29" s="57">
        <f>SUM(M25:M30)</f>
        <v>451</v>
      </c>
      <c r="AB29" s="57">
        <f>SUM(W25:W30)</f>
        <v>463</v>
      </c>
      <c r="AC29" s="87">
        <f>AB28+AB29+AC25</f>
        <v>928</v>
      </c>
    </row>
    <row r="30" spans="1:32" s="79" customFormat="1" x14ac:dyDescent="0.25">
      <c r="A30" s="65">
        <v>26</v>
      </c>
      <c r="B30" s="70" t="s">
        <v>183</v>
      </c>
      <c r="C30" s="44" t="s">
        <v>184</v>
      </c>
      <c r="D30" s="67">
        <f t="shared" si="0"/>
        <v>39025000</v>
      </c>
      <c r="E30" s="68">
        <v>50</v>
      </c>
      <c r="F30" s="68">
        <f t="shared" si="1"/>
        <v>6750000</v>
      </c>
      <c r="G30" s="68">
        <v>5</v>
      </c>
      <c r="H30" s="68">
        <f t="shared" si="2"/>
        <v>635000</v>
      </c>
      <c r="I30" s="68"/>
      <c r="J30" s="68">
        <f t="shared" si="3"/>
        <v>0</v>
      </c>
      <c r="K30" s="68">
        <v>44</v>
      </c>
      <c r="L30" s="68">
        <f t="shared" si="4"/>
        <v>6160000</v>
      </c>
      <c r="M30" s="68">
        <v>0</v>
      </c>
      <c r="N30" s="68">
        <f t="shared" si="5"/>
        <v>0</v>
      </c>
      <c r="O30" s="68">
        <v>8</v>
      </c>
      <c r="P30" s="68">
        <f t="shared" si="6"/>
        <v>1200000</v>
      </c>
      <c r="Q30" s="68">
        <v>7</v>
      </c>
      <c r="R30" s="68">
        <f t="shared" si="7"/>
        <v>910000</v>
      </c>
      <c r="S30" s="68">
        <v>3</v>
      </c>
      <c r="T30" s="68">
        <f t="shared" si="8"/>
        <v>405000</v>
      </c>
      <c r="U30" s="69">
        <v>95</v>
      </c>
      <c r="V30" s="69">
        <f t="shared" si="9"/>
        <v>13110000</v>
      </c>
      <c r="W30" s="69">
        <v>60</v>
      </c>
      <c r="X30" s="69">
        <f t="shared" si="10"/>
        <v>8700000</v>
      </c>
      <c r="Y30" s="69">
        <v>7</v>
      </c>
      <c r="Z30" s="69">
        <f t="shared" si="11"/>
        <v>1155000</v>
      </c>
      <c r="AA30" s="85">
        <f>AA25+AA26+AA27+AA28+AA29+AB25+AB26+AB27+AB28+AB29+AC25</f>
        <v>2958</v>
      </c>
    </row>
    <row r="31" spans="1:32" x14ac:dyDescent="0.25">
      <c r="A31" s="44">
        <v>27</v>
      </c>
      <c r="B31" s="56">
        <v>43020</v>
      </c>
      <c r="C31" s="44"/>
      <c r="D31" s="46">
        <f t="shared" si="0"/>
        <v>43691000</v>
      </c>
      <c r="E31" s="47">
        <v>46</v>
      </c>
      <c r="F31" s="47">
        <f t="shared" si="1"/>
        <v>6210000</v>
      </c>
      <c r="G31" s="47">
        <v>3</v>
      </c>
      <c r="H31" s="47">
        <f t="shared" si="2"/>
        <v>381000</v>
      </c>
      <c r="I31" s="47">
        <v>11</v>
      </c>
      <c r="J31" s="47">
        <f t="shared" si="3"/>
        <v>1485000</v>
      </c>
      <c r="K31" s="47">
        <v>71</v>
      </c>
      <c r="L31" s="47">
        <f t="shared" si="4"/>
        <v>9940000</v>
      </c>
      <c r="M31" s="47">
        <v>79</v>
      </c>
      <c r="N31" s="47">
        <f t="shared" si="5"/>
        <v>11455000</v>
      </c>
      <c r="O31" s="47">
        <v>12</v>
      </c>
      <c r="P31" s="47">
        <f t="shared" si="6"/>
        <v>1800000</v>
      </c>
      <c r="Q31" s="47">
        <v>3</v>
      </c>
      <c r="R31" s="47">
        <f t="shared" si="7"/>
        <v>390000</v>
      </c>
      <c r="S31" s="47">
        <v>0</v>
      </c>
      <c r="T31" s="47">
        <f t="shared" si="8"/>
        <v>0</v>
      </c>
      <c r="U31" s="51">
        <v>0</v>
      </c>
      <c r="V31" s="51">
        <f t="shared" si="9"/>
        <v>0</v>
      </c>
      <c r="W31" s="51">
        <v>75</v>
      </c>
      <c r="X31" s="51">
        <f t="shared" si="10"/>
        <v>10875000</v>
      </c>
      <c r="Y31" s="51">
        <v>7</v>
      </c>
      <c r="Z31" s="51">
        <f t="shared" si="11"/>
        <v>1155000</v>
      </c>
    </row>
    <row r="32" spans="1:32" x14ac:dyDescent="0.25">
      <c r="A32" s="44">
        <v>28</v>
      </c>
      <c r="B32" s="45"/>
      <c r="C32" s="44"/>
      <c r="D32" s="46">
        <f t="shared" si="0"/>
        <v>0</v>
      </c>
      <c r="E32" s="47"/>
      <c r="F32" s="47">
        <f t="shared" si="1"/>
        <v>0</v>
      </c>
      <c r="G32" s="47"/>
      <c r="H32" s="47">
        <f t="shared" si="2"/>
        <v>0</v>
      </c>
      <c r="I32" s="47"/>
      <c r="J32" s="47">
        <f t="shared" si="3"/>
        <v>0</v>
      </c>
      <c r="K32" s="47"/>
      <c r="L32" s="47">
        <f t="shared" si="4"/>
        <v>0</v>
      </c>
      <c r="M32" s="47"/>
      <c r="N32" s="47">
        <f t="shared" si="5"/>
        <v>0</v>
      </c>
      <c r="O32" s="47"/>
      <c r="P32" s="47">
        <f t="shared" si="6"/>
        <v>0</v>
      </c>
      <c r="Q32" s="47"/>
      <c r="R32" s="47">
        <f t="shared" si="7"/>
        <v>0</v>
      </c>
      <c r="S32" s="47"/>
      <c r="T32" s="47">
        <f t="shared" si="8"/>
        <v>0</v>
      </c>
      <c r="U32" s="51"/>
      <c r="V32" s="51">
        <f t="shared" si="9"/>
        <v>0</v>
      </c>
      <c r="W32" s="51"/>
      <c r="X32" s="51">
        <f t="shared" si="10"/>
        <v>0</v>
      </c>
      <c r="Y32" s="51"/>
      <c r="Z32" s="51">
        <f t="shared" si="11"/>
        <v>0</v>
      </c>
    </row>
    <row r="33" spans="1:26" x14ac:dyDescent="0.25">
      <c r="A33" s="44">
        <v>29</v>
      </c>
      <c r="B33" s="45"/>
      <c r="C33" s="44"/>
      <c r="D33" s="46">
        <f t="shared" si="0"/>
        <v>0</v>
      </c>
      <c r="E33" s="47"/>
      <c r="F33" s="47">
        <f t="shared" si="1"/>
        <v>0</v>
      </c>
      <c r="G33" s="47"/>
      <c r="H33" s="47">
        <f t="shared" si="2"/>
        <v>0</v>
      </c>
      <c r="I33" s="47"/>
      <c r="J33" s="47">
        <f t="shared" si="3"/>
        <v>0</v>
      </c>
      <c r="K33" s="47"/>
      <c r="L33" s="47">
        <f t="shared" si="4"/>
        <v>0</v>
      </c>
      <c r="M33" s="47"/>
      <c r="N33" s="47">
        <f t="shared" si="5"/>
        <v>0</v>
      </c>
      <c r="O33" s="47"/>
      <c r="P33" s="47">
        <f t="shared" si="6"/>
        <v>0</v>
      </c>
      <c r="Q33" s="47"/>
      <c r="R33" s="47">
        <f t="shared" si="7"/>
        <v>0</v>
      </c>
      <c r="S33" s="47"/>
      <c r="T33" s="47">
        <f t="shared" si="8"/>
        <v>0</v>
      </c>
      <c r="U33" s="51"/>
      <c r="V33" s="51">
        <f t="shared" si="9"/>
        <v>0</v>
      </c>
      <c r="W33" s="51"/>
      <c r="X33" s="51">
        <f t="shared" si="10"/>
        <v>0</v>
      </c>
      <c r="Y33" s="51"/>
      <c r="Z33" s="51">
        <f t="shared" si="11"/>
        <v>0</v>
      </c>
    </row>
    <row r="34" spans="1:26" x14ac:dyDescent="0.25">
      <c r="A34" s="44">
        <v>30</v>
      </c>
      <c r="B34" s="45"/>
      <c r="C34" s="44"/>
      <c r="D34" s="46">
        <f t="shared" si="0"/>
        <v>0</v>
      </c>
      <c r="E34" s="47"/>
      <c r="F34" s="47">
        <f t="shared" si="1"/>
        <v>0</v>
      </c>
      <c r="G34" s="47"/>
      <c r="H34" s="47">
        <f t="shared" si="2"/>
        <v>0</v>
      </c>
      <c r="I34" s="47"/>
      <c r="J34" s="47">
        <f t="shared" si="3"/>
        <v>0</v>
      </c>
      <c r="K34" s="47"/>
      <c r="L34" s="47">
        <f t="shared" si="4"/>
        <v>0</v>
      </c>
      <c r="M34" s="47"/>
      <c r="N34" s="47">
        <f t="shared" si="5"/>
        <v>0</v>
      </c>
      <c r="O34" s="47"/>
      <c r="P34" s="47">
        <f t="shared" si="6"/>
        <v>0</v>
      </c>
      <c r="Q34" s="47"/>
      <c r="R34" s="47">
        <f t="shared" si="7"/>
        <v>0</v>
      </c>
      <c r="S34" s="47"/>
      <c r="T34" s="47">
        <f t="shared" si="8"/>
        <v>0</v>
      </c>
      <c r="U34" s="51"/>
      <c r="V34" s="51">
        <f t="shared" si="9"/>
        <v>0</v>
      </c>
      <c r="W34" s="51"/>
      <c r="X34" s="51">
        <f t="shared" si="10"/>
        <v>0</v>
      </c>
      <c r="Y34" s="51"/>
      <c r="Z34" s="51">
        <f t="shared" si="11"/>
        <v>0</v>
      </c>
    </row>
    <row r="35" spans="1:26" x14ac:dyDescent="0.25">
      <c r="A35" s="44">
        <v>31</v>
      </c>
      <c r="B35" s="45"/>
      <c r="C35" s="44"/>
      <c r="D35" s="46">
        <f t="shared" si="0"/>
        <v>0</v>
      </c>
      <c r="E35" s="47"/>
      <c r="F35" s="47">
        <f t="shared" si="1"/>
        <v>0</v>
      </c>
      <c r="G35" s="47"/>
      <c r="H35" s="47">
        <f t="shared" si="2"/>
        <v>0</v>
      </c>
      <c r="I35" s="47"/>
      <c r="J35" s="47">
        <f t="shared" si="3"/>
        <v>0</v>
      </c>
      <c r="K35" s="47"/>
      <c r="L35" s="47">
        <f t="shared" si="4"/>
        <v>0</v>
      </c>
      <c r="M35" s="47"/>
      <c r="N35" s="47">
        <f t="shared" si="5"/>
        <v>0</v>
      </c>
      <c r="O35" s="47"/>
      <c r="P35" s="47">
        <f t="shared" si="6"/>
        <v>0</v>
      </c>
      <c r="Q35" s="47"/>
      <c r="R35" s="47">
        <f t="shared" si="7"/>
        <v>0</v>
      </c>
      <c r="S35" s="47"/>
      <c r="T35" s="47">
        <f t="shared" si="8"/>
        <v>0</v>
      </c>
      <c r="U35" s="51"/>
      <c r="V35" s="51">
        <f t="shared" si="9"/>
        <v>0</v>
      </c>
      <c r="W35" s="51"/>
      <c r="X35" s="51">
        <f t="shared" si="10"/>
        <v>0</v>
      </c>
      <c r="Y35" s="51"/>
      <c r="Z35" s="51">
        <f t="shared" si="11"/>
        <v>0</v>
      </c>
    </row>
    <row r="36" spans="1:26" x14ac:dyDescent="0.25">
      <c r="A36" s="44">
        <v>32</v>
      </c>
      <c r="B36" s="45"/>
      <c r="C36" s="44"/>
      <c r="D36" s="46">
        <f t="shared" si="0"/>
        <v>0</v>
      </c>
      <c r="E36" s="47"/>
      <c r="F36" s="47">
        <f t="shared" si="1"/>
        <v>0</v>
      </c>
      <c r="G36" s="47"/>
      <c r="H36" s="47">
        <f t="shared" si="2"/>
        <v>0</v>
      </c>
      <c r="I36" s="47"/>
      <c r="J36" s="47">
        <f t="shared" si="3"/>
        <v>0</v>
      </c>
      <c r="K36" s="47"/>
      <c r="L36" s="47">
        <f t="shared" si="4"/>
        <v>0</v>
      </c>
      <c r="M36" s="47"/>
      <c r="N36" s="47">
        <f t="shared" si="5"/>
        <v>0</v>
      </c>
      <c r="O36" s="47"/>
      <c r="P36" s="47">
        <f t="shared" si="6"/>
        <v>0</v>
      </c>
      <c r="Q36" s="47"/>
      <c r="R36" s="47">
        <f t="shared" si="7"/>
        <v>0</v>
      </c>
      <c r="S36" s="47"/>
      <c r="T36" s="47">
        <f t="shared" si="8"/>
        <v>0</v>
      </c>
      <c r="U36" s="51"/>
      <c r="V36" s="51">
        <f t="shared" si="9"/>
        <v>0</v>
      </c>
      <c r="W36" s="51"/>
      <c r="X36" s="51">
        <f t="shared" si="10"/>
        <v>0</v>
      </c>
      <c r="Y36" s="51"/>
      <c r="Z36" s="51">
        <f t="shared" si="11"/>
        <v>0</v>
      </c>
    </row>
    <row r="37" spans="1:26" x14ac:dyDescent="0.25">
      <c r="A37" s="44">
        <v>33</v>
      </c>
      <c r="B37" s="45"/>
      <c r="C37" s="44"/>
      <c r="D37" s="46">
        <f t="shared" si="0"/>
        <v>0</v>
      </c>
      <c r="E37" s="47"/>
      <c r="F37" s="47">
        <f t="shared" si="1"/>
        <v>0</v>
      </c>
      <c r="G37" s="47"/>
      <c r="H37" s="47">
        <f t="shared" si="2"/>
        <v>0</v>
      </c>
      <c r="I37" s="47"/>
      <c r="J37" s="47">
        <f t="shared" si="3"/>
        <v>0</v>
      </c>
      <c r="K37" s="47"/>
      <c r="L37" s="47">
        <f t="shared" si="4"/>
        <v>0</v>
      </c>
      <c r="M37" s="47"/>
      <c r="N37" s="47">
        <f t="shared" si="5"/>
        <v>0</v>
      </c>
      <c r="O37" s="47"/>
      <c r="P37" s="47">
        <f t="shared" si="6"/>
        <v>0</v>
      </c>
      <c r="Q37" s="47"/>
      <c r="R37" s="47">
        <f t="shared" si="7"/>
        <v>0</v>
      </c>
      <c r="S37" s="47"/>
      <c r="T37" s="47">
        <f t="shared" si="8"/>
        <v>0</v>
      </c>
      <c r="U37" s="51"/>
      <c r="V37" s="51">
        <f t="shared" si="9"/>
        <v>0</v>
      </c>
      <c r="W37" s="51"/>
      <c r="X37" s="51">
        <f t="shared" si="10"/>
        <v>0</v>
      </c>
      <c r="Y37" s="51"/>
      <c r="Z37" s="51">
        <f t="shared" si="11"/>
        <v>0</v>
      </c>
    </row>
    <row r="38" spans="1:26" x14ac:dyDescent="0.25">
      <c r="A38" s="44">
        <v>34</v>
      </c>
      <c r="B38" s="45"/>
      <c r="C38" s="44"/>
      <c r="D38" s="46">
        <f t="shared" si="0"/>
        <v>0</v>
      </c>
      <c r="E38" s="47"/>
      <c r="F38" s="47">
        <f t="shared" si="1"/>
        <v>0</v>
      </c>
      <c r="G38" s="47"/>
      <c r="H38" s="47">
        <f t="shared" si="2"/>
        <v>0</v>
      </c>
      <c r="I38" s="47"/>
      <c r="J38" s="47">
        <f t="shared" si="3"/>
        <v>0</v>
      </c>
      <c r="K38" s="47"/>
      <c r="L38" s="47">
        <f t="shared" si="4"/>
        <v>0</v>
      </c>
      <c r="M38" s="47"/>
      <c r="N38" s="47">
        <f t="shared" si="5"/>
        <v>0</v>
      </c>
      <c r="O38" s="47"/>
      <c r="P38" s="47">
        <f t="shared" si="6"/>
        <v>0</v>
      </c>
      <c r="Q38" s="47"/>
      <c r="R38" s="47">
        <f t="shared" si="7"/>
        <v>0</v>
      </c>
      <c r="S38" s="47"/>
      <c r="T38" s="47">
        <f t="shared" si="8"/>
        <v>0</v>
      </c>
      <c r="U38" s="51"/>
      <c r="V38" s="51">
        <f t="shared" si="9"/>
        <v>0</v>
      </c>
      <c r="W38" s="51"/>
      <c r="X38" s="51">
        <f t="shared" si="10"/>
        <v>0</v>
      </c>
      <c r="Y38" s="51"/>
      <c r="Z38" s="51">
        <f t="shared" si="11"/>
        <v>0</v>
      </c>
    </row>
    <row r="39" spans="1:26" x14ac:dyDescent="0.25">
      <c r="A39" s="44">
        <v>35</v>
      </c>
      <c r="B39" s="45"/>
      <c r="C39" s="44"/>
      <c r="D39" s="46">
        <f t="shared" si="0"/>
        <v>0</v>
      </c>
      <c r="E39" s="47"/>
      <c r="F39" s="47">
        <f t="shared" si="1"/>
        <v>0</v>
      </c>
      <c r="G39" s="47"/>
      <c r="H39" s="47">
        <f t="shared" si="2"/>
        <v>0</v>
      </c>
      <c r="I39" s="47"/>
      <c r="J39" s="47">
        <f t="shared" si="3"/>
        <v>0</v>
      </c>
      <c r="K39" s="47"/>
      <c r="L39" s="47">
        <f t="shared" si="4"/>
        <v>0</v>
      </c>
      <c r="M39" s="47"/>
      <c r="N39" s="47">
        <f t="shared" si="5"/>
        <v>0</v>
      </c>
      <c r="O39" s="47"/>
      <c r="P39" s="47">
        <f t="shared" si="6"/>
        <v>0</v>
      </c>
      <c r="Q39" s="47"/>
      <c r="R39" s="47">
        <f t="shared" si="7"/>
        <v>0</v>
      </c>
      <c r="S39" s="47"/>
      <c r="T39" s="47">
        <f t="shared" si="8"/>
        <v>0</v>
      </c>
      <c r="U39" s="51"/>
      <c r="V39" s="51">
        <f t="shared" si="9"/>
        <v>0</v>
      </c>
      <c r="W39" s="51"/>
      <c r="X39" s="51">
        <f t="shared" si="10"/>
        <v>0</v>
      </c>
      <c r="Y39" s="51"/>
      <c r="Z39" s="51">
        <f t="shared" si="11"/>
        <v>0</v>
      </c>
    </row>
    <row r="40" spans="1:26" x14ac:dyDescent="0.25">
      <c r="A40" s="44">
        <v>36</v>
      </c>
      <c r="B40" s="45"/>
      <c r="C40" s="44"/>
      <c r="D40" s="46">
        <f t="shared" si="0"/>
        <v>0</v>
      </c>
      <c r="E40" s="47"/>
      <c r="F40" s="47">
        <f t="shared" si="1"/>
        <v>0</v>
      </c>
      <c r="G40" s="47"/>
      <c r="H40" s="47">
        <f t="shared" si="2"/>
        <v>0</v>
      </c>
      <c r="I40" s="47"/>
      <c r="J40" s="47">
        <f t="shared" si="3"/>
        <v>0</v>
      </c>
      <c r="K40" s="47"/>
      <c r="L40" s="47">
        <f t="shared" si="4"/>
        <v>0</v>
      </c>
      <c r="M40" s="47"/>
      <c r="N40" s="47">
        <f t="shared" si="5"/>
        <v>0</v>
      </c>
      <c r="O40" s="47"/>
      <c r="P40" s="47">
        <f t="shared" si="6"/>
        <v>0</v>
      </c>
      <c r="Q40" s="47"/>
      <c r="R40" s="47">
        <f t="shared" si="7"/>
        <v>0</v>
      </c>
      <c r="S40" s="47"/>
      <c r="T40" s="47">
        <f t="shared" si="8"/>
        <v>0</v>
      </c>
      <c r="U40" s="51"/>
      <c r="V40" s="51">
        <f t="shared" si="9"/>
        <v>0</v>
      </c>
      <c r="W40" s="51"/>
      <c r="X40" s="51">
        <f t="shared" si="10"/>
        <v>0</v>
      </c>
      <c r="Y40" s="51"/>
      <c r="Z40" s="51">
        <f t="shared" si="11"/>
        <v>0</v>
      </c>
    </row>
    <row r="41" spans="1:26" x14ac:dyDescent="0.25">
      <c r="A41" s="44">
        <v>26</v>
      </c>
      <c r="B41" s="45"/>
      <c r="C41" s="44"/>
      <c r="D41" s="46">
        <f t="shared" si="0"/>
        <v>0</v>
      </c>
      <c r="E41" s="47"/>
      <c r="F41" s="47">
        <f t="shared" si="1"/>
        <v>0</v>
      </c>
      <c r="G41" s="47"/>
      <c r="H41" s="47">
        <f t="shared" si="2"/>
        <v>0</v>
      </c>
      <c r="I41" s="47"/>
      <c r="J41" s="47">
        <f t="shared" si="3"/>
        <v>0</v>
      </c>
      <c r="K41" s="47"/>
      <c r="L41" s="47">
        <f t="shared" si="4"/>
        <v>0</v>
      </c>
      <c r="M41" s="47"/>
      <c r="N41" s="47">
        <f t="shared" si="5"/>
        <v>0</v>
      </c>
      <c r="O41" s="47"/>
      <c r="P41" s="47">
        <f t="shared" si="6"/>
        <v>0</v>
      </c>
      <c r="Q41" s="47"/>
      <c r="R41" s="47">
        <f t="shared" si="7"/>
        <v>0</v>
      </c>
      <c r="S41" s="47"/>
      <c r="T41" s="47">
        <f t="shared" si="8"/>
        <v>0</v>
      </c>
      <c r="U41" s="51"/>
      <c r="V41" s="51">
        <f t="shared" si="9"/>
        <v>0</v>
      </c>
      <c r="W41" s="51"/>
      <c r="X41" s="51">
        <f t="shared" si="10"/>
        <v>0</v>
      </c>
      <c r="Y41" s="51"/>
      <c r="Z41" s="51">
        <f t="shared" si="11"/>
        <v>0</v>
      </c>
    </row>
    <row r="42" spans="1:26" x14ac:dyDescent="0.25">
      <c r="A42" s="44"/>
      <c r="B42" s="45"/>
      <c r="C42" s="44"/>
      <c r="D42" s="46">
        <f t="shared" si="0"/>
        <v>0</v>
      </c>
      <c r="E42" s="47"/>
      <c r="F42" s="47">
        <f t="shared" si="1"/>
        <v>0</v>
      </c>
      <c r="G42" s="47"/>
      <c r="H42" s="47">
        <f t="shared" si="2"/>
        <v>0</v>
      </c>
      <c r="I42" s="47"/>
      <c r="J42" s="47">
        <f t="shared" si="3"/>
        <v>0</v>
      </c>
      <c r="K42" s="47"/>
      <c r="L42" s="47">
        <f t="shared" si="4"/>
        <v>0</v>
      </c>
      <c r="M42" s="47"/>
      <c r="N42" s="47">
        <f t="shared" si="5"/>
        <v>0</v>
      </c>
      <c r="O42" s="47"/>
      <c r="P42" s="47">
        <f t="shared" si="6"/>
        <v>0</v>
      </c>
      <c r="Q42" s="47"/>
      <c r="R42" s="47">
        <f t="shared" si="7"/>
        <v>0</v>
      </c>
      <c r="S42" s="47"/>
      <c r="T42" s="47">
        <f t="shared" si="8"/>
        <v>0</v>
      </c>
      <c r="U42" s="51"/>
      <c r="V42" s="51">
        <f t="shared" si="9"/>
        <v>0</v>
      </c>
      <c r="W42" s="51"/>
      <c r="X42" s="51">
        <f t="shared" si="10"/>
        <v>0</v>
      </c>
      <c r="Y42" s="51"/>
      <c r="Z42" s="51">
        <f t="shared" si="11"/>
        <v>0</v>
      </c>
    </row>
    <row r="43" spans="1:26" x14ac:dyDescent="0.25">
      <c r="A43" s="44"/>
      <c r="B43" s="45"/>
      <c r="C43" s="44"/>
      <c r="D43" s="46">
        <f t="shared" si="0"/>
        <v>0</v>
      </c>
      <c r="E43" s="47"/>
      <c r="F43" s="47">
        <f t="shared" si="1"/>
        <v>0</v>
      </c>
      <c r="G43" s="47"/>
      <c r="H43" s="47">
        <f t="shared" si="2"/>
        <v>0</v>
      </c>
      <c r="I43" s="47"/>
      <c r="J43" s="47">
        <f t="shared" si="3"/>
        <v>0</v>
      </c>
      <c r="K43" s="47"/>
      <c r="L43" s="47">
        <f t="shared" si="4"/>
        <v>0</v>
      </c>
      <c r="M43" s="47"/>
      <c r="N43" s="47">
        <f t="shared" si="5"/>
        <v>0</v>
      </c>
      <c r="O43" s="47"/>
      <c r="P43" s="47">
        <f t="shared" si="6"/>
        <v>0</v>
      </c>
      <c r="Q43" s="47"/>
      <c r="R43" s="47">
        <f t="shared" si="7"/>
        <v>0</v>
      </c>
      <c r="S43" s="47"/>
      <c r="T43" s="47">
        <f t="shared" si="8"/>
        <v>0</v>
      </c>
      <c r="U43" s="51"/>
      <c r="V43" s="51">
        <f t="shared" si="9"/>
        <v>0</v>
      </c>
      <c r="W43" s="51"/>
      <c r="X43" s="51">
        <f t="shared" si="10"/>
        <v>0</v>
      </c>
      <c r="Y43" s="51"/>
      <c r="Z43" s="51">
        <f t="shared" si="11"/>
        <v>0</v>
      </c>
    </row>
    <row r="44" spans="1:26" x14ac:dyDescent="0.25">
      <c r="A44" s="44"/>
      <c r="B44" s="45"/>
      <c r="C44" s="44"/>
      <c r="D44" s="46">
        <f t="shared" si="0"/>
        <v>0</v>
      </c>
      <c r="E44" s="47"/>
      <c r="F44" s="47">
        <f t="shared" si="1"/>
        <v>0</v>
      </c>
      <c r="G44" s="47"/>
      <c r="H44" s="47">
        <f t="shared" si="2"/>
        <v>0</v>
      </c>
      <c r="I44" s="47"/>
      <c r="J44" s="47">
        <f t="shared" si="3"/>
        <v>0</v>
      </c>
      <c r="K44" s="47"/>
      <c r="L44" s="47">
        <f t="shared" si="4"/>
        <v>0</v>
      </c>
      <c r="M44" s="47"/>
      <c r="N44" s="47">
        <f t="shared" si="5"/>
        <v>0</v>
      </c>
      <c r="O44" s="47"/>
      <c r="P44" s="47">
        <f t="shared" si="6"/>
        <v>0</v>
      </c>
      <c r="Q44" s="47"/>
      <c r="R44" s="47">
        <f t="shared" si="7"/>
        <v>0</v>
      </c>
      <c r="S44" s="47"/>
      <c r="T44" s="47">
        <f t="shared" si="8"/>
        <v>0</v>
      </c>
      <c r="U44" s="51"/>
      <c r="V44" s="51">
        <f t="shared" si="9"/>
        <v>0</v>
      </c>
      <c r="W44" s="51"/>
      <c r="X44" s="51">
        <f t="shared" si="10"/>
        <v>0</v>
      </c>
      <c r="Y44" s="51"/>
      <c r="Z44" s="51">
        <f t="shared" si="11"/>
        <v>0</v>
      </c>
    </row>
    <row r="45" spans="1:26" x14ac:dyDescent="0.25">
      <c r="A45" s="44"/>
      <c r="B45" s="45"/>
      <c r="C45" s="44"/>
      <c r="D45" s="46">
        <f t="shared" si="0"/>
        <v>0</v>
      </c>
      <c r="E45" s="47"/>
      <c r="F45" s="47">
        <f t="shared" si="1"/>
        <v>0</v>
      </c>
      <c r="G45" s="47"/>
      <c r="H45" s="47">
        <f t="shared" si="2"/>
        <v>0</v>
      </c>
      <c r="I45" s="47"/>
      <c r="J45" s="47">
        <f t="shared" si="3"/>
        <v>0</v>
      </c>
      <c r="K45" s="47"/>
      <c r="L45" s="47">
        <f t="shared" si="4"/>
        <v>0</v>
      </c>
      <c r="M45" s="47"/>
      <c r="N45" s="47">
        <f t="shared" si="5"/>
        <v>0</v>
      </c>
      <c r="O45" s="47"/>
      <c r="P45" s="47">
        <f t="shared" si="6"/>
        <v>0</v>
      </c>
      <c r="Q45" s="47"/>
      <c r="R45" s="47">
        <f t="shared" si="7"/>
        <v>0</v>
      </c>
      <c r="S45" s="47"/>
      <c r="T45" s="47">
        <f t="shared" si="8"/>
        <v>0</v>
      </c>
      <c r="U45" s="51"/>
      <c r="V45" s="51">
        <f t="shared" si="9"/>
        <v>0</v>
      </c>
      <c r="W45" s="51"/>
      <c r="X45" s="51">
        <f t="shared" si="10"/>
        <v>0</v>
      </c>
      <c r="Y45" s="51"/>
      <c r="Z45" s="51">
        <f t="shared" si="11"/>
        <v>0</v>
      </c>
    </row>
    <row r="46" spans="1:26" x14ac:dyDescent="0.25">
      <c r="A46" s="44"/>
      <c r="B46" s="45"/>
      <c r="C46" s="44"/>
      <c r="D46" s="46">
        <f t="shared" si="0"/>
        <v>0</v>
      </c>
      <c r="E46" s="47"/>
      <c r="F46" s="47">
        <f t="shared" si="1"/>
        <v>0</v>
      </c>
      <c r="G46" s="47"/>
      <c r="H46" s="47">
        <f t="shared" si="2"/>
        <v>0</v>
      </c>
      <c r="I46" s="47"/>
      <c r="J46" s="47">
        <f t="shared" si="3"/>
        <v>0</v>
      </c>
      <c r="K46" s="47"/>
      <c r="L46" s="47">
        <f t="shared" si="4"/>
        <v>0</v>
      </c>
      <c r="M46" s="47"/>
      <c r="N46" s="47">
        <f t="shared" si="5"/>
        <v>0</v>
      </c>
      <c r="O46" s="47"/>
      <c r="P46" s="47">
        <f t="shared" si="6"/>
        <v>0</v>
      </c>
      <c r="Q46" s="47"/>
      <c r="R46" s="47">
        <f t="shared" si="7"/>
        <v>0</v>
      </c>
      <c r="S46" s="47"/>
      <c r="T46" s="47">
        <f t="shared" si="8"/>
        <v>0</v>
      </c>
      <c r="U46" s="51"/>
      <c r="V46" s="51">
        <f t="shared" si="9"/>
        <v>0</v>
      </c>
      <c r="W46" s="51"/>
      <c r="X46" s="51">
        <f t="shared" si="10"/>
        <v>0</v>
      </c>
      <c r="Y46" s="51"/>
      <c r="Z46" s="51">
        <f t="shared" si="11"/>
        <v>0</v>
      </c>
    </row>
    <row r="47" spans="1:26" x14ac:dyDescent="0.25">
      <c r="A47" s="44"/>
      <c r="B47" s="45"/>
      <c r="C47" s="44"/>
      <c r="D47" s="46">
        <f t="shared" si="0"/>
        <v>0</v>
      </c>
      <c r="E47" s="47"/>
      <c r="F47" s="47">
        <f t="shared" si="1"/>
        <v>0</v>
      </c>
      <c r="G47" s="47"/>
      <c r="H47" s="47">
        <f t="shared" si="2"/>
        <v>0</v>
      </c>
      <c r="I47" s="47"/>
      <c r="J47" s="47">
        <f t="shared" si="3"/>
        <v>0</v>
      </c>
      <c r="K47" s="47"/>
      <c r="L47" s="47">
        <f t="shared" si="4"/>
        <v>0</v>
      </c>
      <c r="M47" s="47"/>
      <c r="N47" s="47">
        <f t="shared" si="5"/>
        <v>0</v>
      </c>
      <c r="O47" s="47"/>
      <c r="P47" s="47">
        <f t="shared" si="6"/>
        <v>0</v>
      </c>
      <c r="Q47" s="47"/>
      <c r="R47" s="47">
        <f t="shared" si="7"/>
        <v>0</v>
      </c>
      <c r="S47" s="47"/>
      <c r="T47" s="47">
        <f t="shared" si="8"/>
        <v>0</v>
      </c>
      <c r="U47" s="51"/>
      <c r="V47" s="51">
        <f t="shared" si="9"/>
        <v>0</v>
      </c>
      <c r="W47" s="51"/>
      <c r="X47" s="51">
        <f t="shared" si="10"/>
        <v>0</v>
      </c>
      <c r="Y47" s="51"/>
      <c r="Z47" s="51">
        <f t="shared" si="11"/>
        <v>0</v>
      </c>
    </row>
    <row r="48" spans="1:26" x14ac:dyDescent="0.25">
      <c r="A48" s="44"/>
      <c r="B48" s="45"/>
      <c r="C48" s="44"/>
      <c r="D48" s="46">
        <f t="shared" si="0"/>
        <v>0</v>
      </c>
      <c r="E48" s="47"/>
      <c r="F48" s="47">
        <f t="shared" si="1"/>
        <v>0</v>
      </c>
      <c r="G48" s="47"/>
      <c r="H48" s="47">
        <f t="shared" si="2"/>
        <v>0</v>
      </c>
      <c r="I48" s="47"/>
      <c r="J48" s="47">
        <f t="shared" si="3"/>
        <v>0</v>
      </c>
      <c r="K48" s="47"/>
      <c r="L48" s="47">
        <f t="shared" si="4"/>
        <v>0</v>
      </c>
      <c r="M48" s="47"/>
      <c r="N48" s="47">
        <f t="shared" si="5"/>
        <v>0</v>
      </c>
      <c r="O48" s="47"/>
      <c r="P48" s="47">
        <f t="shared" si="6"/>
        <v>0</v>
      </c>
      <c r="Q48" s="47"/>
      <c r="R48" s="47">
        <f t="shared" si="7"/>
        <v>0</v>
      </c>
      <c r="S48" s="47"/>
      <c r="T48" s="47">
        <f t="shared" si="8"/>
        <v>0</v>
      </c>
      <c r="U48" s="51"/>
      <c r="V48" s="51">
        <f t="shared" si="9"/>
        <v>0</v>
      </c>
      <c r="W48" s="51"/>
      <c r="X48" s="51">
        <f t="shared" si="10"/>
        <v>0</v>
      </c>
      <c r="Y48" s="51"/>
      <c r="Z48" s="51">
        <f t="shared" si="11"/>
        <v>0</v>
      </c>
    </row>
    <row r="49" spans="1:26" x14ac:dyDescent="0.25">
      <c r="A49" s="44"/>
      <c r="B49" s="45"/>
      <c r="C49" s="44"/>
      <c r="D49" s="46">
        <f t="shared" si="0"/>
        <v>0</v>
      </c>
      <c r="E49" s="47"/>
      <c r="F49" s="47">
        <f t="shared" si="1"/>
        <v>0</v>
      </c>
      <c r="G49" s="47"/>
      <c r="H49" s="47">
        <f t="shared" si="2"/>
        <v>0</v>
      </c>
      <c r="I49" s="47"/>
      <c r="J49" s="47">
        <f t="shared" si="3"/>
        <v>0</v>
      </c>
      <c r="K49" s="47"/>
      <c r="L49" s="47">
        <f t="shared" si="4"/>
        <v>0</v>
      </c>
      <c r="M49" s="47"/>
      <c r="N49" s="47">
        <f t="shared" si="5"/>
        <v>0</v>
      </c>
      <c r="O49" s="47"/>
      <c r="P49" s="47">
        <f t="shared" si="6"/>
        <v>0</v>
      </c>
      <c r="Q49" s="47"/>
      <c r="R49" s="47">
        <f t="shared" si="7"/>
        <v>0</v>
      </c>
      <c r="S49" s="47"/>
      <c r="T49" s="47">
        <f t="shared" si="8"/>
        <v>0</v>
      </c>
      <c r="U49" s="51"/>
      <c r="V49" s="51">
        <f t="shared" si="9"/>
        <v>0</v>
      </c>
      <c r="W49" s="51"/>
      <c r="X49" s="51">
        <f t="shared" si="10"/>
        <v>0</v>
      </c>
      <c r="Y49" s="51"/>
      <c r="Z49" s="51">
        <f t="shared" si="11"/>
        <v>0</v>
      </c>
    </row>
    <row r="50" spans="1:26" x14ac:dyDescent="0.25">
      <c r="A50" s="44"/>
      <c r="B50" s="45"/>
      <c r="C50" s="44"/>
      <c r="D50" s="46">
        <f t="shared" si="0"/>
        <v>0</v>
      </c>
      <c r="E50" s="47"/>
      <c r="F50" s="47">
        <f t="shared" si="1"/>
        <v>0</v>
      </c>
      <c r="G50" s="47"/>
      <c r="H50" s="47">
        <f t="shared" si="2"/>
        <v>0</v>
      </c>
      <c r="I50" s="47"/>
      <c r="J50" s="47">
        <f t="shared" si="3"/>
        <v>0</v>
      </c>
      <c r="K50" s="47"/>
      <c r="L50" s="47">
        <f t="shared" si="4"/>
        <v>0</v>
      </c>
      <c r="M50" s="47"/>
      <c r="N50" s="47">
        <f t="shared" si="5"/>
        <v>0</v>
      </c>
      <c r="O50" s="47"/>
      <c r="P50" s="47">
        <f t="shared" si="6"/>
        <v>0</v>
      </c>
      <c r="Q50" s="47"/>
      <c r="R50" s="47">
        <f t="shared" si="7"/>
        <v>0</v>
      </c>
      <c r="S50" s="47"/>
      <c r="T50" s="47">
        <f t="shared" si="8"/>
        <v>0</v>
      </c>
      <c r="U50" s="51"/>
      <c r="V50" s="51">
        <f t="shared" si="9"/>
        <v>0</v>
      </c>
      <c r="W50" s="51"/>
      <c r="X50" s="51">
        <f t="shared" si="10"/>
        <v>0</v>
      </c>
      <c r="Y50" s="51"/>
      <c r="Z50" s="51">
        <f t="shared" si="11"/>
        <v>0</v>
      </c>
    </row>
    <row r="51" spans="1:26" x14ac:dyDescent="0.25">
      <c r="A51" s="44"/>
      <c r="B51" s="44"/>
      <c r="C51" s="44"/>
      <c r="D51" s="46">
        <f t="shared" si="0"/>
        <v>0</v>
      </c>
      <c r="E51" s="47"/>
      <c r="F51" s="47">
        <f t="shared" si="1"/>
        <v>0</v>
      </c>
      <c r="G51" s="47"/>
      <c r="H51" s="47">
        <f t="shared" si="2"/>
        <v>0</v>
      </c>
      <c r="I51" s="47"/>
      <c r="J51" s="47">
        <f t="shared" si="3"/>
        <v>0</v>
      </c>
      <c r="K51" s="47"/>
      <c r="L51" s="47">
        <f t="shared" si="4"/>
        <v>0</v>
      </c>
      <c r="M51" s="47"/>
      <c r="N51" s="47">
        <f t="shared" si="5"/>
        <v>0</v>
      </c>
      <c r="O51" s="47"/>
      <c r="P51" s="47">
        <f t="shared" si="6"/>
        <v>0</v>
      </c>
      <c r="Q51" s="47"/>
      <c r="R51" s="47">
        <f t="shared" si="7"/>
        <v>0</v>
      </c>
      <c r="S51" s="47"/>
      <c r="T51" s="47">
        <f t="shared" si="8"/>
        <v>0</v>
      </c>
      <c r="U51" s="52"/>
      <c r="V51" s="51">
        <f t="shared" si="9"/>
        <v>0</v>
      </c>
      <c r="W51" s="51"/>
      <c r="X51" s="51">
        <f t="shared" si="10"/>
        <v>0</v>
      </c>
      <c r="Y51" s="51"/>
      <c r="Z51" s="51">
        <f t="shared" si="11"/>
        <v>0</v>
      </c>
    </row>
    <row r="52" spans="1:26" x14ac:dyDescent="0.25">
      <c r="A52" s="44">
        <v>27</v>
      </c>
      <c r="B52" s="44"/>
      <c r="C52" s="44"/>
      <c r="D52" s="46">
        <f t="shared" si="0"/>
        <v>0</v>
      </c>
      <c r="E52" s="47"/>
      <c r="F52" s="47">
        <f t="shared" si="1"/>
        <v>0</v>
      </c>
      <c r="G52" s="47"/>
      <c r="H52" s="47">
        <f t="shared" si="2"/>
        <v>0</v>
      </c>
      <c r="I52" s="47"/>
      <c r="J52" s="47">
        <f t="shared" si="3"/>
        <v>0</v>
      </c>
      <c r="K52" s="47"/>
      <c r="L52" s="47">
        <f t="shared" si="4"/>
        <v>0</v>
      </c>
      <c r="M52" s="47"/>
      <c r="N52" s="47">
        <f t="shared" si="5"/>
        <v>0</v>
      </c>
      <c r="O52" s="47"/>
      <c r="P52" s="47">
        <f t="shared" si="6"/>
        <v>0</v>
      </c>
      <c r="Q52" s="47"/>
      <c r="R52" s="47">
        <f t="shared" si="7"/>
        <v>0</v>
      </c>
      <c r="S52" s="47"/>
      <c r="T52" s="47">
        <f t="shared" si="8"/>
        <v>0</v>
      </c>
      <c r="U52" s="52"/>
      <c r="V52" s="51">
        <f t="shared" si="9"/>
        <v>0</v>
      </c>
      <c r="W52" s="51"/>
      <c r="X52" s="51">
        <f t="shared" si="10"/>
        <v>0</v>
      </c>
      <c r="Y52" s="51"/>
      <c r="Z52" s="51">
        <f t="shared" si="11"/>
        <v>0</v>
      </c>
    </row>
    <row r="53" spans="1:26" x14ac:dyDescent="0.25">
      <c r="A53" s="44"/>
      <c r="B53" s="90" t="s">
        <v>23</v>
      </c>
      <c r="C53" s="91"/>
      <c r="D53" s="46">
        <f>SUM(D5:D52)</f>
        <v>2282519000</v>
      </c>
      <c r="E53" s="46">
        <f t="shared" ref="E53:Z53" si="12">SUM(E5:E52)</f>
        <v>7558</v>
      </c>
      <c r="F53" s="46">
        <f t="shared" si="12"/>
        <v>1020330000</v>
      </c>
      <c r="G53" s="46">
        <f t="shared" si="12"/>
        <v>910</v>
      </c>
      <c r="H53" s="46">
        <f t="shared" si="12"/>
        <v>115570000</v>
      </c>
      <c r="I53" s="46">
        <f t="shared" si="12"/>
        <v>735</v>
      </c>
      <c r="J53" s="46">
        <f t="shared" si="12"/>
        <v>99225000</v>
      </c>
      <c r="K53" s="46">
        <f t="shared" si="12"/>
        <v>1278</v>
      </c>
      <c r="L53" s="46">
        <f t="shared" si="12"/>
        <v>178920000</v>
      </c>
      <c r="M53" s="46">
        <f t="shared" si="12"/>
        <v>1385</v>
      </c>
      <c r="N53" s="46">
        <f t="shared" si="12"/>
        <v>200825000</v>
      </c>
      <c r="O53" s="46">
        <f t="shared" si="12"/>
        <v>401</v>
      </c>
      <c r="P53" s="46">
        <f t="shared" si="12"/>
        <v>60150000</v>
      </c>
      <c r="Q53" s="46">
        <f t="shared" si="12"/>
        <v>192</v>
      </c>
      <c r="R53" s="46">
        <f t="shared" si="12"/>
        <v>24960000</v>
      </c>
      <c r="S53" s="46">
        <f t="shared" si="12"/>
        <v>95</v>
      </c>
      <c r="T53" s="46">
        <f t="shared" si="12"/>
        <v>12825000</v>
      </c>
      <c r="U53" s="46">
        <f t="shared" si="12"/>
        <v>1263</v>
      </c>
      <c r="V53" s="46">
        <f t="shared" si="12"/>
        <v>174294000</v>
      </c>
      <c r="W53" s="46">
        <f t="shared" si="12"/>
        <v>2207</v>
      </c>
      <c r="X53" s="46">
        <f t="shared" si="12"/>
        <v>320015000</v>
      </c>
      <c r="Y53" s="46">
        <f t="shared" si="12"/>
        <v>457</v>
      </c>
      <c r="Z53" s="46">
        <f t="shared" si="12"/>
        <v>75405000</v>
      </c>
    </row>
  </sheetData>
  <mergeCells count="17">
    <mergeCell ref="U3:V3"/>
    <mergeCell ref="W3:X3"/>
    <mergeCell ref="Y3:Z3"/>
    <mergeCell ref="S3:T3"/>
    <mergeCell ref="I3:J3"/>
    <mergeCell ref="K3:L3"/>
    <mergeCell ref="M3:N3"/>
    <mergeCell ref="O3:P3"/>
    <mergeCell ref="Q3:R3"/>
    <mergeCell ref="A1:H1"/>
    <mergeCell ref="B53:C53"/>
    <mergeCell ref="E3:F3"/>
    <mergeCell ref="G3:H3"/>
    <mergeCell ref="A3:A4"/>
    <mergeCell ref="B3:B4"/>
    <mergeCell ref="C3:C4"/>
    <mergeCell ref="D3:D4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M11" sqref="M11"/>
    </sheetView>
  </sheetViews>
  <sheetFormatPr defaultRowHeight="15.75" x14ac:dyDescent="0.25"/>
  <cols>
    <col min="1" max="1" width="6.75" customWidth="1"/>
    <col min="2" max="2" width="11.125" customWidth="1"/>
    <col min="3" max="5" width="8.125" customWidth="1"/>
    <col min="6" max="6" width="13.75" bestFit="1" customWidth="1"/>
    <col min="7" max="9" width="8.125" customWidth="1"/>
    <col min="10" max="10" width="13.5" bestFit="1" customWidth="1"/>
    <col min="11" max="11" width="8.25" customWidth="1"/>
    <col min="12" max="12" width="10" customWidth="1"/>
    <col min="13" max="13" width="9.75" customWidth="1"/>
  </cols>
  <sheetData>
    <row r="1" spans="1:14" x14ac:dyDescent="0.25">
      <c r="A1" t="s">
        <v>67</v>
      </c>
    </row>
    <row r="3" spans="1:14" ht="18" customHeight="1" x14ac:dyDescent="0.25">
      <c r="A3" s="98" t="s">
        <v>34</v>
      </c>
      <c r="B3" s="95" t="s">
        <v>68</v>
      </c>
      <c r="C3" s="96"/>
      <c r="D3" s="96"/>
      <c r="E3" s="97"/>
      <c r="F3" s="95" t="s">
        <v>69</v>
      </c>
      <c r="G3" s="96"/>
      <c r="H3" s="96"/>
      <c r="I3" s="97"/>
      <c r="J3" s="95" t="s">
        <v>70</v>
      </c>
      <c r="K3" s="96"/>
      <c r="L3" s="96"/>
      <c r="M3" s="97"/>
    </row>
    <row r="4" spans="1:14" ht="18" customHeight="1" x14ac:dyDescent="0.25">
      <c r="A4" s="99"/>
      <c r="B4" s="28" t="s">
        <v>74</v>
      </c>
      <c r="C4" s="28" t="s">
        <v>71</v>
      </c>
      <c r="D4" s="28" t="s">
        <v>72</v>
      </c>
      <c r="E4" s="28" t="s">
        <v>73</v>
      </c>
      <c r="F4" s="28" t="s">
        <v>74</v>
      </c>
      <c r="G4" s="28" t="s">
        <v>71</v>
      </c>
      <c r="H4" s="28" t="s">
        <v>72</v>
      </c>
      <c r="I4" s="28" t="s">
        <v>73</v>
      </c>
      <c r="J4" s="28" t="s">
        <v>74</v>
      </c>
      <c r="K4" s="28" t="s">
        <v>71</v>
      </c>
      <c r="L4" s="28" t="s">
        <v>72</v>
      </c>
      <c r="M4" s="28" t="s">
        <v>73</v>
      </c>
    </row>
    <row r="5" spans="1:14" x14ac:dyDescent="0.25">
      <c r="B5" t="s">
        <v>75</v>
      </c>
      <c r="C5">
        <f>'Nhap ao trang'!B5</f>
        <v>9149</v>
      </c>
      <c r="D5" s="2">
        <f>'Da nop KT'!E53</f>
        <v>7558</v>
      </c>
      <c r="E5" s="29">
        <f>C5-D5</f>
        <v>1591</v>
      </c>
      <c r="F5" t="s">
        <v>78</v>
      </c>
      <c r="G5">
        <f>'Ao xanh'!B6+'Ao xanh'!B7</f>
        <v>1017</v>
      </c>
      <c r="H5" s="2">
        <f>'Da nop KT'!I53</f>
        <v>735</v>
      </c>
      <c r="I5" s="29">
        <f>G5-H5</f>
        <v>282</v>
      </c>
      <c r="J5" t="s">
        <v>119</v>
      </c>
      <c r="K5">
        <f>'TD C Thuận'!B5+'TD C Thuận'!B6</f>
        <v>50</v>
      </c>
      <c r="L5" s="2">
        <f>'Da nop KT'!U5+'Da nop KT'!U6</f>
        <v>50</v>
      </c>
      <c r="M5" s="30">
        <f>K5-L5</f>
        <v>0</v>
      </c>
    </row>
    <row r="6" spans="1:14" x14ac:dyDescent="0.25">
      <c r="B6" t="s">
        <v>76</v>
      </c>
      <c r="C6">
        <f>'Nhap ao trang'!B20</f>
        <v>1055</v>
      </c>
      <c r="D6" s="2">
        <f>'Da nop KT'!G53</f>
        <v>910</v>
      </c>
      <c r="E6" s="29">
        <f t="shared" ref="E6:E7" si="0">C6-D6</f>
        <v>145</v>
      </c>
      <c r="F6" t="s">
        <v>79</v>
      </c>
      <c r="G6">
        <f>'Ao xanh'!B8+'Ao xanh'!B9</f>
        <v>1424</v>
      </c>
      <c r="H6" s="2">
        <f>'Da nop KT'!K53</f>
        <v>1278</v>
      </c>
      <c r="I6" s="29">
        <f>G6-H6</f>
        <v>146</v>
      </c>
      <c r="J6" t="s">
        <v>120</v>
      </c>
      <c r="K6">
        <f>'TD C Thuận'!B8+'TD C Thuận'!B9+'TD C Thuận'!B7</f>
        <v>48</v>
      </c>
      <c r="L6" s="2">
        <f>'Da nop KT'!W5+'Da nop KT'!W6</f>
        <v>33</v>
      </c>
      <c r="M6" s="30">
        <f>K6-L6</f>
        <v>15</v>
      </c>
      <c r="N6" t="s">
        <v>132</v>
      </c>
    </row>
    <row r="7" spans="1:14" x14ac:dyDescent="0.25">
      <c r="E7" s="12">
        <f t="shared" si="0"/>
        <v>0</v>
      </c>
      <c r="F7" t="s">
        <v>80</v>
      </c>
      <c r="G7">
        <f>'Ao xanh'!B10+'Ao xanh'!B11+'Ao xanh'!B12</f>
        <v>1700</v>
      </c>
      <c r="H7" s="2">
        <f>'Da nop KT'!M53</f>
        <v>1385</v>
      </c>
      <c r="I7" s="29">
        <f t="shared" ref="I7:I10" si="1">G7-H7</f>
        <v>315</v>
      </c>
      <c r="J7" t="s">
        <v>83</v>
      </c>
      <c r="K7">
        <f>'TD C Thuận'!B10+'TD C Thuận'!B11+'TD C Thuận'!B12</f>
        <v>97</v>
      </c>
      <c r="L7" s="2">
        <f>'Da nop KT'!Y5+'Da nop KT'!Y6+'Da nop KT'!Y7</f>
        <v>96</v>
      </c>
      <c r="M7" s="30">
        <f>K7-L7</f>
        <v>1</v>
      </c>
      <c r="N7" t="s">
        <v>133</v>
      </c>
    </row>
    <row r="8" spans="1:14" x14ac:dyDescent="0.25">
      <c r="E8" s="2"/>
      <c r="F8" t="s">
        <v>147</v>
      </c>
      <c r="G8">
        <f>'Ao xanh'!B13+'Ao xanh'!B14+'Ao xanh'!B15+'Ao xanh'!B16</f>
        <v>631</v>
      </c>
      <c r="H8" s="2">
        <f>'Da nop KT'!O53</f>
        <v>401</v>
      </c>
      <c r="I8" s="29">
        <f t="shared" si="1"/>
        <v>230</v>
      </c>
    </row>
    <row r="9" spans="1:14" x14ac:dyDescent="0.25">
      <c r="E9" s="2"/>
      <c r="F9" t="s">
        <v>81</v>
      </c>
      <c r="G9">
        <f>'Ao xanh'!B18+'Ao xanh'!B19+'Ao xanh'!B20+'Ao xanh'!B21+'Ao xanh'!B22+'Ao xanh'!B23</f>
        <v>330</v>
      </c>
      <c r="H9" s="2">
        <f>'Da nop KT'!Q53</f>
        <v>192</v>
      </c>
      <c r="I9" s="29">
        <f t="shared" si="1"/>
        <v>138</v>
      </c>
      <c r="J9" t="s">
        <v>119</v>
      </c>
      <c r="K9">
        <f>'TD C Hoàng'!B5+'TD C Hoàng'!B6</f>
        <v>1460</v>
      </c>
      <c r="L9" s="2">
        <f>'Da nop KT'!U53-50</f>
        <v>1213</v>
      </c>
      <c r="M9" s="60">
        <f>K9-L9</f>
        <v>247</v>
      </c>
    </row>
    <row r="10" spans="1:14" x14ac:dyDescent="0.25">
      <c r="E10" s="2"/>
      <c r="F10" t="s">
        <v>82</v>
      </c>
      <c r="G10">
        <f>'Ao xanh'!B24+'Ao xanh'!B25+'Ao xanh'!B26</f>
        <v>138</v>
      </c>
      <c r="H10" s="2">
        <f>'Da nop KT'!S53</f>
        <v>95</v>
      </c>
      <c r="I10" s="29">
        <f t="shared" si="1"/>
        <v>43</v>
      </c>
      <c r="J10" t="s">
        <v>120</v>
      </c>
      <c r="K10">
        <f>'TD C Hoàng'!B7+'TD C Hoàng'!B8+'TD C Hoàng'!B9</f>
        <v>2391</v>
      </c>
      <c r="L10" s="2">
        <f>'Da nop KT'!W53-33</f>
        <v>2174</v>
      </c>
      <c r="M10" s="60">
        <f t="shared" ref="M10:M11" si="2">K10-L10</f>
        <v>217</v>
      </c>
    </row>
    <row r="11" spans="1:14" x14ac:dyDescent="0.25">
      <c r="E11" s="2"/>
      <c r="G11">
        <f>SUM(G5:G10)</f>
        <v>5240</v>
      </c>
      <c r="H11">
        <f>SUM(H5:H10)</f>
        <v>4086</v>
      </c>
      <c r="I11" s="2"/>
      <c r="J11" t="s">
        <v>83</v>
      </c>
      <c r="K11">
        <f>'TD C Hoàng'!B10+'TD C Hoàng'!B11+'TD C Hoàng'!B12</f>
        <v>513</v>
      </c>
      <c r="L11" s="2">
        <f>'Da nop KT'!Y53-96</f>
        <v>361</v>
      </c>
      <c r="M11" s="60">
        <f t="shared" si="2"/>
        <v>152</v>
      </c>
    </row>
    <row r="12" spans="1:14" x14ac:dyDescent="0.25">
      <c r="E12" s="2"/>
      <c r="I12" s="2"/>
      <c r="K12">
        <f>SUM(K9:K11)</f>
        <v>4364</v>
      </c>
      <c r="L12">
        <f t="shared" ref="L12:M12" si="3">SUM(L9:L11)</f>
        <v>3748</v>
      </c>
      <c r="M12">
        <f t="shared" si="3"/>
        <v>616</v>
      </c>
    </row>
    <row r="13" spans="1:14" x14ac:dyDescent="0.25">
      <c r="E13" s="2"/>
    </row>
    <row r="14" spans="1:14" x14ac:dyDescent="0.25">
      <c r="E14" s="2"/>
    </row>
    <row r="15" spans="1:14" x14ac:dyDescent="0.25">
      <c r="E15" s="2"/>
    </row>
    <row r="17" spans="12:12" x14ac:dyDescent="0.25">
      <c r="L17" s="1"/>
    </row>
  </sheetData>
  <mergeCells count="4">
    <mergeCell ref="B3:E3"/>
    <mergeCell ref="F3:I3"/>
    <mergeCell ref="J3:M3"/>
    <mergeCell ref="A3:A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F16" sqref="F16"/>
    </sheetView>
  </sheetViews>
  <sheetFormatPr defaultRowHeight="15.75" x14ac:dyDescent="0.25"/>
  <cols>
    <col min="1" max="1" width="4.25" customWidth="1"/>
    <col min="2" max="2" width="33.5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3.375" customWidth="1"/>
    <col min="8" max="8" width="11.5" customWidth="1"/>
  </cols>
  <sheetData>
    <row r="1" spans="1:9" x14ac:dyDescent="0.25">
      <c r="A1" s="102" t="s">
        <v>181</v>
      </c>
      <c r="B1" s="102"/>
      <c r="C1" s="102"/>
      <c r="D1" s="101" t="s">
        <v>42</v>
      </c>
      <c r="E1" s="101"/>
      <c r="F1" s="101"/>
      <c r="G1" s="101"/>
    </row>
    <row r="2" spans="1:9" x14ac:dyDescent="0.25">
      <c r="A2" s="101" t="s">
        <v>63</v>
      </c>
      <c r="B2" s="101"/>
      <c r="C2" s="101"/>
      <c r="D2" s="101" t="s">
        <v>43</v>
      </c>
      <c r="E2" s="101"/>
      <c r="F2" s="101"/>
      <c r="G2" s="101"/>
    </row>
    <row r="3" spans="1:9" x14ac:dyDescent="0.25">
      <c r="A3" s="101" t="s">
        <v>64</v>
      </c>
      <c r="B3" s="101"/>
      <c r="C3" s="101"/>
    </row>
    <row r="5" spans="1:9" ht="16.5" x14ac:dyDescent="0.25">
      <c r="D5" s="100" t="s">
        <v>187</v>
      </c>
      <c r="E5" s="100"/>
      <c r="F5" s="100"/>
      <c r="G5" s="100"/>
    </row>
    <row r="7" spans="1:9" ht="18.75" x14ac:dyDescent="0.3">
      <c r="A7" s="88" t="s">
        <v>121</v>
      </c>
      <c r="B7" s="88"/>
      <c r="C7" s="88"/>
      <c r="D7" s="88"/>
      <c r="E7" s="88"/>
      <c r="F7" s="88"/>
      <c r="G7" s="88"/>
    </row>
    <row r="8" spans="1:9" ht="18.75" x14ac:dyDescent="0.3">
      <c r="A8" s="88" t="s">
        <v>188</v>
      </c>
      <c r="B8" s="88"/>
      <c r="C8" s="88"/>
      <c r="D8" s="88"/>
      <c r="E8" s="88"/>
      <c r="F8" s="88"/>
      <c r="G8" s="88"/>
    </row>
    <row r="10" spans="1:9" s="4" customFormat="1" ht="33.75" customHeight="1" x14ac:dyDescent="0.25">
      <c r="A10" s="3" t="s">
        <v>34</v>
      </c>
      <c r="B10" s="3" t="s">
        <v>44</v>
      </c>
      <c r="C10" s="3" t="s">
        <v>45</v>
      </c>
      <c r="D10" s="22" t="s">
        <v>65</v>
      </c>
      <c r="E10" s="3" t="s">
        <v>46</v>
      </c>
      <c r="F10" s="3" t="s">
        <v>37</v>
      </c>
      <c r="G10" s="3" t="s">
        <v>47</v>
      </c>
    </row>
    <row r="11" spans="1:9" s="4" customFormat="1" ht="21" customHeight="1" x14ac:dyDescent="0.25">
      <c r="A11" s="5">
        <v>1</v>
      </c>
      <c r="B11" s="6" t="s">
        <v>95</v>
      </c>
      <c r="C11" s="5" t="s">
        <v>49</v>
      </c>
      <c r="D11" s="7">
        <v>61</v>
      </c>
      <c r="E11" s="7">
        <v>135000</v>
      </c>
      <c r="F11" s="7">
        <f>D11*E11</f>
        <v>8235000</v>
      </c>
      <c r="G11" s="6"/>
    </row>
    <row r="12" spans="1:9" s="4" customFormat="1" ht="21" customHeight="1" x14ac:dyDescent="0.25">
      <c r="A12" s="5">
        <v>2</v>
      </c>
      <c r="B12" s="6" t="s">
        <v>96</v>
      </c>
      <c r="C12" s="5" t="s">
        <v>49</v>
      </c>
      <c r="D12" s="7">
        <v>1</v>
      </c>
      <c r="E12" s="7">
        <v>127000</v>
      </c>
      <c r="F12" s="7">
        <f t="shared" ref="F12:F18" si="0">D12*E12</f>
        <v>127000</v>
      </c>
      <c r="G12" s="6"/>
    </row>
    <row r="13" spans="1:9" s="4" customFormat="1" ht="21" customHeight="1" x14ac:dyDescent="0.25">
      <c r="A13" s="5">
        <v>3</v>
      </c>
      <c r="B13" s="6" t="s">
        <v>97</v>
      </c>
      <c r="C13" s="5" t="s">
        <v>49</v>
      </c>
      <c r="D13" s="7">
        <v>74</v>
      </c>
      <c r="E13" s="7">
        <v>135000</v>
      </c>
      <c r="F13" s="7">
        <f t="shared" si="0"/>
        <v>9990000</v>
      </c>
      <c r="G13" s="6"/>
    </row>
    <row r="14" spans="1:9" s="4" customFormat="1" ht="21" customHeight="1" x14ac:dyDescent="0.25">
      <c r="A14" s="5">
        <v>4</v>
      </c>
      <c r="B14" s="6" t="s">
        <v>98</v>
      </c>
      <c r="C14" s="5" t="s">
        <v>49</v>
      </c>
      <c r="D14" s="7">
        <v>78</v>
      </c>
      <c r="E14" s="7">
        <v>140000</v>
      </c>
      <c r="F14" s="7">
        <f t="shared" si="0"/>
        <v>10920000</v>
      </c>
      <c r="G14" s="6"/>
      <c r="I14" s="4">
        <f>500*217</f>
        <v>108500</v>
      </c>
    </row>
    <row r="15" spans="1:9" s="4" customFormat="1" ht="21" customHeight="1" x14ac:dyDescent="0.25">
      <c r="A15" s="5">
        <v>5</v>
      </c>
      <c r="B15" s="6" t="s">
        <v>99</v>
      </c>
      <c r="C15" s="5" t="s">
        <v>49</v>
      </c>
      <c r="D15" s="7">
        <v>89</v>
      </c>
      <c r="E15" s="7">
        <v>145000</v>
      </c>
      <c r="F15" s="7">
        <f t="shared" si="0"/>
        <v>12905000</v>
      </c>
      <c r="G15" s="6"/>
      <c r="I15" s="4">
        <f>200*196</f>
        <v>39200</v>
      </c>
    </row>
    <row r="16" spans="1:9" s="4" customFormat="1" ht="21" customHeight="1" x14ac:dyDescent="0.25">
      <c r="A16" s="5">
        <v>6</v>
      </c>
      <c r="B16" s="6" t="s">
        <v>100</v>
      </c>
      <c r="C16" s="5" t="s">
        <v>49</v>
      </c>
      <c r="D16" s="7">
        <v>15</v>
      </c>
      <c r="E16" s="7">
        <v>150000</v>
      </c>
      <c r="F16" s="7">
        <f t="shared" si="0"/>
        <v>2250000</v>
      </c>
      <c r="G16" s="6"/>
      <c r="I16" s="4">
        <f>100*291</f>
        <v>29100</v>
      </c>
    </row>
    <row r="17" spans="1:9" s="4" customFormat="1" ht="21" customHeight="1" x14ac:dyDescent="0.25">
      <c r="A17" s="5">
        <v>7</v>
      </c>
      <c r="B17" s="6" t="s">
        <v>101</v>
      </c>
      <c r="C17" s="5" t="s">
        <v>49</v>
      </c>
      <c r="D17" s="7">
        <v>2</v>
      </c>
      <c r="E17" s="7">
        <v>130000</v>
      </c>
      <c r="F17" s="7">
        <f t="shared" si="0"/>
        <v>260000</v>
      </c>
      <c r="G17" s="6"/>
      <c r="I17" s="4">
        <f>50*109</f>
        <v>5450</v>
      </c>
    </row>
    <row r="18" spans="1:9" s="4" customFormat="1" ht="21" customHeight="1" x14ac:dyDescent="0.25">
      <c r="A18" s="5">
        <v>8</v>
      </c>
      <c r="B18" s="6" t="s">
        <v>102</v>
      </c>
      <c r="C18" s="5" t="s">
        <v>49</v>
      </c>
      <c r="D18" s="7">
        <v>2</v>
      </c>
      <c r="E18" s="7">
        <v>135000</v>
      </c>
      <c r="F18" s="7">
        <f t="shared" si="0"/>
        <v>270000</v>
      </c>
      <c r="G18" s="6"/>
      <c r="I18" s="4">
        <f>SUM(I14:I17)</f>
        <v>182250</v>
      </c>
    </row>
    <row r="19" spans="1:9" s="4" customFormat="1" ht="21" customHeight="1" x14ac:dyDescent="0.25">
      <c r="A19" s="5">
        <v>9</v>
      </c>
      <c r="B19" s="6" t="s">
        <v>103</v>
      </c>
      <c r="C19" s="5" t="s">
        <v>50</v>
      </c>
      <c r="D19" s="7">
        <v>69</v>
      </c>
      <c r="E19" s="7">
        <v>138000</v>
      </c>
      <c r="F19" s="7">
        <f>D19*E19</f>
        <v>9522000</v>
      </c>
      <c r="G19" s="6"/>
    </row>
    <row r="20" spans="1:9" s="4" customFormat="1" ht="21" customHeight="1" x14ac:dyDescent="0.25">
      <c r="A20" s="5">
        <v>10</v>
      </c>
      <c r="B20" s="6" t="s">
        <v>104</v>
      </c>
      <c r="C20" s="5" t="s">
        <v>50</v>
      </c>
      <c r="D20" s="7">
        <v>39</v>
      </c>
      <c r="E20" s="7">
        <v>145000</v>
      </c>
      <c r="F20" s="7">
        <f>D20*E20</f>
        <v>5655000</v>
      </c>
      <c r="G20" s="6"/>
    </row>
    <row r="21" spans="1:9" s="4" customFormat="1" ht="21" customHeight="1" x14ac:dyDescent="0.25">
      <c r="A21" s="5">
        <v>11</v>
      </c>
      <c r="B21" s="6" t="s">
        <v>48</v>
      </c>
      <c r="C21" s="5" t="s">
        <v>50</v>
      </c>
      <c r="D21" s="7">
        <v>9</v>
      </c>
      <c r="E21" s="7">
        <v>165000</v>
      </c>
      <c r="F21" s="7">
        <f>D21*E21</f>
        <v>1485000</v>
      </c>
      <c r="G21" s="6"/>
    </row>
    <row r="22" spans="1:9" s="4" customFormat="1" ht="21" customHeight="1" x14ac:dyDescent="0.25">
      <c r="A22" s="5"/>
      <c r="B22" s="11" t="s">
        <v>23</v>
      </c>
      <c r="C22" s="6"/>
      <c r="D22" s="7"/>
      <c r="E22" s="7"/>
      <c r="F22" s="8">
        <f>SUM(F11:F21)</f>
        <v>61619000</v>
      </c>
      <c r="G22" s="6"/>
    </row>
    <row r="23" spans="1:9" s="4" customFormat="1" ht="16.5" x14ac:dyDescent="0.25">
      <c r="B23" s="10"/>
    </row>
    <row r="24" spans="1:9" s="4" customFormat="1" ht="16.5" x14ac:dyDescent="0.25">
      <c r="A24" s="4" t="s">
        <v>189</v>
      </c>
    </row>
    <row r="25" spans="1:9" s="4" customFormat="1" ht="16.5" x14ac:dyDescent="0.25"/>
    <row r="26" spans="1:9" s="4" customFormat="1" ht="16.5" x14ac:dyDescent="0.25">
      <c r="B26" s="9" t="s">
        <v>53</v>
      </c>
      <c r="F26" s="9" t="s">
        <v>51</v>
      </c>
    </row>
    <row r="27" spans="1:9" s="4" customFormat="1" ht="16.5" x14ac:dyDescent="0.25"/>
    <row r="28" spans="1:9" s="4" customFormat="1" ht="16.5" x14ac:dyDescent="0.25"/>
    <row r="29" spans="1:9" s="4" customFormat="1" ht="16.5" x14ac:dyDescent="0.25"/>
    <row r="30" spans="1:9" s="4" customFormat="1" ht="16.5" x14ac:dyDescent="0.25"/>
    <row r="31" spans="1:9" s="4" customFormat="1" ht="16.5" x14ac:dyDescent="0.25">
      <c r="B31" s="9"/>
    </row>
    <row r="32" spans="1:9" s="4" customFormat="1" ht="16.5" x14ac:dyDescent="0.25">
      <c r="B32" s="9" t="s">
        <v>55</v>
      </c>
      <c r="F32" s="9" t="s">
        <v>52</v>
      </c>
    </row>
    <row r="33" s="4" customFormat="1" ht="16.5" x14ac:dyDescent="0.25"/>
    <row r="34" s="4" customFormat="1" ht="16.5" x14ac:dyDescent="0.25"/>
    <row r="35" s="4" customFormat="1" ht="16.5" x14ac:dyDescent="0.25"/>
    <row r="36" s="4" customFormat="1" ht="16.5" x14ac:dyDescent="0.25"/>
    <row r="37" s="4" customFormat="1" ht="16.5" x14ac:dyDescent="0.25"/>
  </sheetData>
  <mergeCells count="8">
    <mergeCell ref="D5:G5"/>
    <mergeCell ref="A7:G7"/>
    <mergeCell ref="A8:G8"/>
    <mergeCell ref="D1:G1"/>
    <mergeCell ref="D2:G2"/>
    <mergeCell ref="A1:C1"/>
    <mergeCell ref="A2:C2"/>
    <mergeCell ref="A3:C3"/>
  </mergeCells>
  <printOptions horizontalCentered="1"/>
  <pageMargins left="0.51181102362204722" right="0.19685039370078741" top="0.74803149606299213" bottom="0.15748031496062992" header="0.78740157480314965" footer="0.11811023622047245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8" sqref="C18"/>
    </sheetView>
  </sheetViews>
  <sheetFormatPr defaultRowHeight="16.5" x14ac:dyDescent="0.25"/>
  <cols>
    <col min="1" max="1" width="5.375" style="4" customWidth="1"/>
    <col min="2" max="2" width="20" style="4" customWidth="1"/>
    <col min="3" max="3" width="14.375" style="4" customWidth="1"/>
    <col min="4" max="4" width="14.625" style="4" customWidth="1"/>
    <col min="5" max="5" width="13.75" style="4" customWidth="1"/>
    <col min="6" max="6" width="18.375" style="4" customWidth="1"/>
    <col min="7" max="16384" width="9" style="4"/>
  </cols>
  <sheetData>
    <row r="1" spans="1:6" x14ac:dyDescent="0.25">
      <c r="A1" s="103" t="s">
        <v>148</v>
      </c>
      <c r="B1" s="103"/>
      <c r="C1" s="103"/>
      <c r="D1" s="103"/>
      <c r="E1" s="103"/>
      <c r="F1" s="103"/>
    </row>
    <row r="2" spans="1:6" x14ac:dyDescent="0.25">
      <c r="A2" s="103" t="s">
        <v>162</v>
      </c>
      <c r="B2" s="103"/>
      <c r="C2" s="103"/>
      <c r="D2" s="103"/>
      <c r="E2" s="103"/>
      <c r="F2" s="103"/>
    </row>
    <row r="4" spans="1:6" ht="50.25" customHeight="1" x14ac:dyDescent="0.25">
      <c r="A4" s="3" t="s">
        <v>34</v>
      </c>
      <c r="B4" s="3" t="s">
        <v>149</v>
      </c>
      <c r="C4" s="22" t="s">
        <v>164</v>
      </c>
      <c r="D4" s="22" t="s">
        <v>163</v>
      </c>
      <c r="E4" s="22" t="s">
        <v>165</v>
      </c>
      <c r="F4" s="3" t="s">
        <v>161</v>
      </c>
    </row>
    <row r="5" spans="1:6" ht="24" customHeight="1" x14ac:dyDescent="0.25">
      <c r="A5" s="3" t="s">
        <v>150</v>
      </c>
      <c r="B5" s="74" t="s">
        <v>151</v>
      </c>
      <c r="C5" s="8">
        <f>SUM(C6:C7)</f>
        <v>10204</v>
      </c>
      <c r="D5" s="8">
        <f>SUM(D6:D7)</f>
        <v>8468</v>
      </c>
      <c r="E5" s="8">
        <f>SUM(E6:E7)</f>
        <v>1736</v>
      </c>
      <c r="F5" s="6"/>
    </row>
    <row r="6" spans="1:6" ht="24" customHeight="1" x14ac:dyDescent="0.25">
      <c r="A6" s="75">
        <v>1</v>
      </c>
      <c r="B6" s="6" t="s">
        <v>95</v>
      </c>
      <c r="C6" s="7">
        <f>'Nhap ao trang'!B5</f>
        <v>9149</v>
      </c>
      <c r="D6" s="7">
        <f>'Da nop KT'!E53</f>
        <v>7558</v>
      </c>
      <c r="E6" s="76">
        <f t="shared" ref="E6:E20" si="0">C6-D6</f>
        <v>1591</v>
      </c>
      <c r="F6" s="6"/>
    </row>
    <row r="7" spans="1:6" ht="24" customHeight="1" x14ac:dyDescent="0.25">
      <c r="A7" s="75">
        <v>2</v>
      </c>
      <c r="B7" s="6" t="s">
        <v>96</v>
      </c>
      <c r="C7" s="7">
        <f>'Nhap ao trang'!B20</f>
        <v>1055</v>
      </c>
      <c r="D7" s="7">
        <f>'Da nop KT'!G53</f>
        <v>910</v>
      </c>
      <c r="E7" s="76">
        <f t="shared" si="0"/>
        <v>145</v>
      </c>
      <c r="F7" s="6"/>
    </row>
    <row r="8" spans="1:6" ht="24" customHeight="1" x14ac:dyDescent="0.25">
      <c r="A8" s="3" t="s">
        <v>152</v>
      </c>
      <c r="B8" s="74" t="s">
        <v>153</v>
      </c>
      <c r="C8" s="8">
        <f>C9+C14</f>
        <v>5240</v>
      </c>
      <c r="D8" s="8">
        <f>D9+D14</f>
        <v>4086</v>
      </c>
      <c r="E8" s="8">
        <f>E9+E14</f>
        <v>1154</v>
      </c>
      <c r="F8" s="6"/>
    </row>
    <row r="9" spans="1:6" ht="24" customHeight="1" x14ac:dyDescent="0.25">
      <c r="A9" s="75">
        <v>1</v>
      </c>
      <c r="B9" s="6" t="s">
        <v>155</v>
      </c>
      <c r="C9" s="8">
        <f>SUM(C10:C13)</f>
        <v>4772</v>
      </c>
      <c r="D9" s="8">
        <f>SUM(D10:D13)</f>
        <v>3799</v>
      </c>
      <c r="E9" s="8">
        <f>SUM(E10:E13)</f>
        <v>973</v>
      </c>
      <c r="F9" s="6"/>
    </row>
    <row r="10" spans="1:6" ht="24" customHeight="1" x14ac:dyDescent="0.25">
      <c r="A10" s="75"/>
      <c r="B10" s="6" t="s">
        <v>78</v>
      </c>
      <c r="C10" s="7">
        <f>'Ao xanh'!B6+'Ao xanh'!B7</f>
        <v>1017</v>
      </c>
      <c r="D10" s="7">
        <f>'Da nop KT'!I53</f>
        <v>735</v>
      </c>
      <c r="E10" s="76">
        <f t="shared" si="0"/>
        <v>282</v>
      </c>
      <c r="F10" s="6"/>
    </row>
    <row r="11" spans="1:6" ht="24" customHeight="1" x14ac:dyDescent="0.25">
      <c r="A11" s="75"/>
      <c r="B11" s="6" t="s">
        <v>79</v>
      </c>
      <c r="C11" s="7">
        <f>'Ao xanh'!B8+'Ao xanh'!B9</f>
        <v>1424</v>
      </c>
      <c r="D11" s="7">
        <f>'Da nop KT'!K53</f>
        <v>1278</v>
      </c>
      <c r="E11" s="76">
        <f t="shared" si="0"/>
        <v>146</v>
      </c>
      <c r="F11" s="6"/>
    </row>
    <row r="12" spans="1:6" ht="24" customHeight="1" x14ac:dyDescent="0.25">
      <c r="A12" s="75"/>
      <c r="B12" s="6" t="s">
        <v>80</v>
      </c>
      <c r="C12" s="7">
        <f>'Ao xanh'!B10+'Ao xanh'!B11+'Ao xanh'!B12</f>
        <v>1700</v>
      </c>
      <c r="D12" s="7">
        <f>'Da nop KT'!M53</f>
        <v>1385</v>
      </c>
      <c r="E12" s="76">
        <f t="shared" si="0"/>
        <v>315</v>
      </c>
      <c r="F12" s="6"/>
    </row>
    <row r="13" spans="1:6" ht="24" customHeight="1" x14ac:dyDescent="0.25">
      <c r="A13" s="75"/>
      <c r="B13" s="6" t="s">
        <v>154</v>
      </c>
      <c r="C13" s="7">
        <f>'Ao xanh'!B13+'Ao xanh'!B14+'Ao xanh'!B15+'Ao xanh'!B16</f>
        <v>631</v>
      </c>
      <c r="D13" s="7">
        <f>'Da nop KT'!O53</f>
        <v>401</v>
      </c>
      <c r="E13" s="76">
        <f t="shared" si="0"/>
        <v>230</v>
      </c>
      <c r="F13" s="6"/>
    </row>
    <row r="14" spans="1:6" ht="24" customHeight="1" x14ac:dyDescent="0.25">
      <c r="A14" s="75">
        <v>2</v>
      </c>
      <c r="B14" s="6" t="s">
        <v>156</v>
      </c>
      <c r="C14" s="8">
        <f>SUM(C15:C16)</f>
        <v>468</v>
      </c>
      <c r="D14" s="8">
        <f>SUM(D15:D16)</f>
        <v>287</v>
      </c>
      <c r="E14" s="8">
        <f>SUM(E15:E16)</f>
        <v>181</v>
      </c>
      <c r="F14" s="6"/>
    </row>
    <row r="15" spans="1:6" ht="24" customHeight="1" x14ac:dyDescent="0.25">
      <c r="A15" s="3"/>
      <c r="B15" s="6" t="s">
        <v>81</v>
      </c>
      <c r="C15" s="7">
        <f>'Ao xanh'!B18+'Ao xanh'!B19+'Ao xanh'!B20+'Ao xanh'!B21+'Ao xanh'!B22+'Ao xanh'!B23</f>
        <v>330</v>
      </c>
      <c r="D15" s="7">
        <f>'Da nop KT'!Q53</f>
        <v>192</v>
      </c>
      <c r="E15" s="76">
        <f t="shared" si="0"/>
        <v>138</v>
      </c>
      <c r="F15" s="6"/>
    </row>
    <row r="16" spans="1:6" ht="24" customHeight="1" x14ac:dyDescent="0.25">
      <c r="A16" s="3"/>
      <c r="B16" s="6" t="s">
        <v>82</v>
      </c>
      <c r="C16" s="7">
        <f>'Ao xanh'!B24+'Ao xanh'!B25+'Ao xanh'!B26</f>
        <v>138</v>
      </c>
      <c r="D16" s="7">
        <f>'Da nop KT'!S53</f>
        <v>95</v>
      </c>
      <c r="E16" s="76">
        <f t="shared" si="0"/>
        <v>43</v>
      </c>
      <c r="F16" s="6"/>
    </row>
    <row r="17" spans="1:6" ht="24" customHeight="1" x14ac:dyDescent="0.25">
      <c r="A17" s="3" t="s">
        <v>157</v>
      </c>
      <c r="B17" s="74" t="s">
        <v>158</v>
      </c>
      <c r="C17" s="8">
        <f>SUM(C18:C20)</f>
        <v>4364</v>
      </c>
      <c r="D17" s="8">
        <f>SUM(D18:D20)</f>
        <v>3748</v>
      </c>
      <c r="E17" s="8">
        <f>SUM(E18:E20)</f>
        <v>616</v>
      </c>
      <c r="F17" s="6"/>
    </row>
    <row r="18" spans="1:6" ht="24" customHeight="1" x14ac:dyDescent="0.25">
      <c r="A18" s="3"/>
      <c r="B18" s="6" t="s">
        <v>159</v>
      </c>
      <c r="C18" s="7">
        <f>'TD C Hoàng'!B5+'TD C Hoàng'!B6</f>
        <v>1460</v>
      </c>
      <c r="D18" s="7">
        <f>'Da nop KT'!U53-50</f>
        <v>1213</v>
      </c>
      <c r="E18" s="76">
        <f>C18-D18</f>
        <v>247</v>
      </c>
      <c r="F18" s="6"/>
    </row>
    <row r="19" spans="1:6" ht="24" customHeight="1" x14ac:dyDescent="0.25">
      <c r="A19" s="3"/>
      <c r="B19" s="6" t="s">
        <v>160</v>
      </c>
      <c r="C19" s="7">
        <f>'TD C Hoàng'!B7+'TD C Hoàng'!B8+'TD C Hoàng'!B9</f>
        <v>2391</v>
      </c>
      <c r="D19" s="7">
        <f>'Da nop KT'!W53-33</f>
        <v>2174</v>
      </c>
      <c r="E19" s="76">
        <f t="shared" si="0"/>
        <v>217</v>
      </c>
      <c r="F19" s="6"/>
    </row>
    <row r="20" spans="1:6" ht="24" customHeight="1" x14ac:dyDescent="0.25">
      <c r="A20" s="3"/>
      <c r="B20" s="6" t="s">
        <v>54</v>
      </c>
      <c r="C20" s="7">
        <f>'TD C Hoàng'!B10+'TD C Hoàng'!B11+'TD C Hoàng'!B12</f>
        <v>513</v>
      </c>
      <c r="D20" s="7">
        <f>'Da nop KT'!Y53-96</f>
        <v>361</v>
      </c>
      <c r="E20" s="76">
        <f t="shared" si="0"/>
        <v>152</v>
      </c>
      <c r="F20" s="6"/>
    </row>
  </sheetData>
  <mergeCells count="2">
    <mergeCell ref="A1:F1"/>
    <mergeCell ref="A2:F2"/>
  </mergeCells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I7" sqref="I7"/>
    </sheetView>
  </sheetViews>
  <sheetFormatPr defaultRowHeight="15.75" x14ac:dyDescent="0.25"/>
  <cols>
    <col min="1" max="4" width="8.875" customWidth="1"/>
    <col min="5" max="5" width="10.375" customWidth="1"/>
    <col min="6" max="9" width="8.875" customWidth="1"/>
    <col min="10" max="10" width="10.75" customWidth="1"/>
  </cols>
  <sheetData>
    <row r="1" spans="1:10" ht="47.25" x14ac:dyDescent="0.25">
      <c r="A1" s="13" t="s">
        <v>56</v>
      </c>
      <c r="B1" s="13" t="s">
        <v>57</v>
      </c>
      <c r="C1" s="13" t="s">
        <v>58</v>
      </c>
      <c r="D1" s="13" t="s">
        <v>59</v>
      </c>
      <c r="E1" s="13" t="s">
        <v>60</v>
      </c>
      <c r="F1" s="13" t="s">
        <v>61</v>
      </c>
      <c r="G1" s="13" t="s">
        <v>62</v>
      </c>
      <c r="H1" s="13" t="s">
        <v>58</v>
      </c>
      <c r="I1" s="13" t="s">
        <v>59</v>
      </c>
      <c r="J1" s="13" t="s">
        <v>60</v>
      </c>
    </row>
    <row r="2" spans="1:10" ht="21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</row>
    <row r="7" spans="1:10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</row>
    <row r="8" spans="1:10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</row>
    <row r="9" spans="1:10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spans="1:10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</row>
    <row r="13" spans="1:10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0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</row>
    <row r="19" spans="1:10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</sheetData>
  <pageMargins left="0.31496062992125984" right="0.31496062992125984" top="0.55118110236220474" bottom="0.55118110236220474" header="0.51181102362204722" footer="0.51181102362204722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activeCell="E2" sqref="E2"/>
    </sheetView>
  </sheetViews>
  <sheetFormatPr defaultRowHeight="15.75" x14ac:dyDescent="0.25"/>
  <cols>
    <col min="1" max="3" width="8" customWidth="1"/>
    <col min="4" max="5" width="8.125" customWidth="1"/>
    <col min="6" max="6" width="10.25" customWidth="1"/>
    <col min="7" max="10" width="8.25" customWidth="1"/>
    <col min="11" max="11" width="9.625" customWidth="1"/>
  </cols>
  <sheetData>
    <row r="1" spans="1:11" ht="81.75" customHeight="1" x14ac:dyDescent="0.25">
      <c r="A1" s="21" t="s">
        <v>84</v>
      </c>
      <c r="B1" s="37" t="s">
        <v>85</v>
      </c>
      <c r="C1" s="21" t="s">
        <v>86</v>
      </c>
      <c r="D1" s="37" t="s">
        <v>87</v>
      </c>
      <c r="E1" s="37" t="s">
        <v>88</v>
      </c>
      <c r="F1" s="37" t="s">
        <v>89</v>
      </c>
      <c r="G1" s="37" t="s">
        <v>90</v>
      </c>
      <c r="H1" s="37" t="s">
        <v>91</v>
      </c>
      <c r="I1" s="21" t="s">
        <v>92</v>
      </c>
      <c r="J1" s="37" t="s">
        <v>94</v>
      </c>
      <c r="K1" s="37" t="s">
        <v>93</v>
      </c>
    </row>
    <row r="2" spans="1:11" ht="21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81.75" customHeight="1" x14ac:dyDescent="0.25">
      <c r="A36" s="38" t="s">
        <v>84</v>
      </c>
      <c r="B36" s="38" t="s">
        <v>85</v>
      </c>
      <c r="C36" s="38" t="s">
        <v>86</v>
      </c>
      <c r="D36" s="38" t="s">
        <v>87</v>
      </c>
      <c r="E36" s="38" t="s">
        <v>88</v>
      </c>
      <c r="F36" s="38" t="s">
        <v>89</v>
      </c>
      <c r="G36" s="38" t="s">
        <v>90</v>
      </c>
      <c r="H36" s="38" t="s">
        <v>91</v>
      </c>
      <c r="I36" s="38" t="s">
        <v>92</v>
      </c>
      <c r="J36" s="38" t="s">
        <v>94</v>
      </c>
      <c r="K36" s="38" t="s">
        <v>93</v>
      </c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21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21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ht="21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ht="21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ht="21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ht="21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 ht="21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 ht="21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 ht="21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 ht="21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</row>
    <row r="48" spans="1:11" ht="21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spans="1:11" ht="21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spans="1:11" ht="21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21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spans="1:11" ht="21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1" ht="21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1:11" ht="21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 ht="21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11" ht="21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ht="21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11" ht="21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 ht="21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 ht="21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ht="21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 ht="21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21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ht="21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 ht="21" customHeight="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 ht="21" customHeigh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ht="21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ht="21" customHeight="1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1:11" ht="21" customHeight="1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spans="1:11" ht="21" customHeight="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</row>
  </sheetData>
  <pageMargins left="0" right="0" top="0.35433070866141736" bottom="0.55118110236220474" header="0.31496062992125984" footer="0.5118110236220472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Nhap ao trang</vt:lpstr>
      <vt:lpstr>TD C Thuận</vt:lpstr>
      <vt:lpstr>TD C Hoàng</vt:lpstr>
      <vt:lpstr>Ao xanh</vt:lpstr>
      <vt:lpstr>Da nop KT</vt:lpstr>
      <vt:lpstr>Nhap-xuat-ton</vt:lpstr>
      <vt:lpstr>ke nop tien</vt:lpstr>
      <vt:lpstr>Sheet2</vt:lpstr>
      <vt:lpstr>Sheet3</vt:lpstr>
      <vt:lpstr>Sheet3 (2)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2017-11-02T03:50:37Z</cp:lastPrinted>
  <dcterms:created xsi:type="dcterms:W3CDTF">2016-09-23T02:11:47Z</dcterms:created>
  <dcterms:modified xsi:type="dcterms:W3CDTF">2017-11-23T10:01:18Z</dcterms:modified>
</cp:coreProperties>
</file>